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Quality\Quality Center\Standards Certifications\C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23260" windowHeight="125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Yarono">[1]C!$B$2:$B$250</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22" i="5" l="1"/>
  <c r="V22" i="5"/>
  <c r="T22" i="5"/>
  <c r="S22" i="5"/>
  <c r="X21" i="5"/>
  <c r="V21" i="5"/>
  <c r="T21" i="5"/>
  <c r="S21" i="5"/>
  <c r="X20" i="5"/>
  <c r="V20" i="5"/>
  <c r="T20" i="5"/>
  <c r="S20" i="5"/>
  <c r="X19" i="5"/>
  <c r="V19" i="5"/>
  <c r="T19" i="5"/>
  <c r="S19" i="5"/>
  <c r="X18" i="5"/>
  <c r="V18" i="5"/>
  <c r="T18" i="5"/>
  <c r="S18" i="5"/>
  <c r="X17" i="5"/>
  <c r="V17" i="5"/>
  <c r="T17" i="5"/>
  <c r="S17" i="5"/>
  <c r="X16" i="5"/>
  <c r="V16" i="5"/>
  <c r="T16" i="5"/>
  <c r="S16" i="5"/>
  <c r="X15" i="5"/>
  <c r="V15" i="5"/>
  <c r="T15" i="5"/>
  <c r="S15" i="5"/>
  <c r="X14" i="5"/>
  <c r="V14" i="5"/>
  <c r="T14" i="5"/>
  <c r="S14" i="5"/>
  <c r="X13" i="5"/>
  <c r="V13" i="5"/>
  <c r="T13" i="5"/>
  <c r="S13" i="5"/>
  <c r="X12" i="5"/>
  <c r="V12" i="5"/>
  <c r="T12" i="5"/>
  <c r="S12" i="5"/>
  <c r="X11" i="5"/>
  <c r="V11" i="5"/>
  <c r="T11" i="5"/>
  <c r="S11" i="5"/>
  <c r="X10" i="5"/>
  <c r="V10" i="5"/>
  <c r="T10" i="5"/>
  <c r="S10" i="5"/>
  <c r="X9" i="5"/>
  <c r="V9" i="5"/>
  <c r="T9" i="5"/>
  <c r="S9" i="5"/>
  <c r="X8" i="5"/>
  <c r="V8" i="5"/>
  <c r="T8" i="5"/>
  <c r="S8" i="5"/>
  <c r="X7" i="5"/>
  <c r="V7" i="5"/>
  <c r="T7" i="5"/>
  <c r="S7" i="5"/>
  <c r="X6" i="5"/>
  <c r="V6" i="5"/>
  <c r="T6" i="5"/>
  <c r="S6" i="5"/>
  <c r="X5" i="5"/>
  <c r="V5" i="5"/>
  <c r="T5" i="5"/>
  <c r="S5"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<sst xmlns="http://schemas.openxmlformats.org/spreadsheetml/2006/main" count="22574" uniqueCount="15853">
  <si>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</si>
  <si>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</si>
  <si>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</si>
  <si>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</si>
  <si>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</si>
  <si>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</si>
  <si>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</si>
  <si>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</si>
  <si>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</si>
  <si>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</si>
  <si>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</si>
  <si>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</si>
  <si>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</si>
  <si>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</si>
  <si>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</si>
  <si>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</si>
  <si>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</si>
  <si>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</si>
  <si>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</si>
  <si>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</si>
  <si>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</si>
  <si>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</si>
  <si>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</si>
  <si>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</si>
  <si>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</si>
  <si>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</si>
  <si>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</si>
  <si>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</si>
  <si>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</si>
  <si>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</si>
  <si>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</si>
  <si>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</si>
  <si>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</si>
  <si>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</si>
  <si>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</si>
  <si>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</si>
  <si>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</si>
  <si>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</si>
  <si>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</si>
  <si>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</si>
  <si>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</si>
  <si>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</si>
  <si>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</si>
  <si>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</si>
  <si>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</si>
  <si>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</si>
  <si>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</si>
  <si>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</si>
  <si>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</si>
  <si>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</si>
  <si>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</si>
  <si>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</si>
  <si>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</si>
  <si>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</si>
  <si>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</si>
  <si>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</si>
  <si>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</si>
  <si>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</si>
  <si>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</si>
  <si>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</si>
  <si>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</si>
  <si>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</si>
  <si>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</si>
  <si>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</si>
  <si>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</si>
  <si>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</si>
  <si>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</si>
  <si>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</si>
  <si>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</si>
  <si>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</si>
  <si>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</si>
  <si>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</si>
  <si>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</si>
  <si>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</si>
  <si>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</si>
  <si>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</si>
  <si>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</si>
  <si>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</si>
  <si>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</si>
  <si>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</si>
  <si>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</si>
  <si>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</si>
  <si>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</si>
  <si>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</si>
  <si>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</si>
  <si>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</si>
  <si>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</si>
  <si>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</si>
  <si>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</si>
  <si>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</si>
  <si>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</si>
  <si>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</si>
  <si>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</si>
  <si>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</si>
  <si>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</si>
  <si>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</si>
  <si>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</si>
  <si>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</si>
  <si>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</si>
  <si>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</si>
  <si>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</si>
  <si>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</si>
  <si>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</si>
  <si>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</si>
  <si>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</si>
  <si>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</si>
  <si>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</si>
  <si>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</si>
  <si>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</si>
  <si>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</si>
  <si>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</si>
  <si>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</si>
  <si>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</si>
  <si>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</si>
  <si>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</si>
  <si>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</si>
  <si>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</si>
  <si>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</si>
  <si>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</si>
  <si>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</si>
  <si>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</si>
  <si>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</si>
  <si>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</si>
  <si>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</si>
  <si>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</si>
  <si>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</si>
  <si>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</si>
  <si>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</si>
  <si>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</si>
  <si>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</si>
  <si>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</si>
  <si>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</si>
  <si>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</si>
  <si>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</si>
  <si>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</si>
  <si>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</si>
  <si>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</si>
  <si>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</si>
  <si>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</si>
  <si>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</si>
  <si>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</si>
  <si>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</si>
  <si>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</si>
  <si>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</si>
  <si>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</si>
  <si>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</si>
  <si>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</si>
  <si>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</si>
  <si>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</si>
  <si>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</si>
  <si>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</si>
  <si>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</si>
  <si>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</si>
  <si>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</si>
  <si>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</si>
  <si>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</si>
  <si>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</si>
  <si>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</si>
  <si>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</si>
  <si>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</si>
  <si>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</si>
  <si>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</si>
  <si>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</si>
  <si>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</si>
  <si>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</si>
  <si>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</si>
  <si>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</si>
  <si>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</si>
  <si>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</si>
  <si>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</si>
  <si>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</si>
  <si>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</si>
  <si>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</si>
  <si>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</si>
  <si>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</si>
  <si>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</si>
  <si>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</si>
  <si>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</si>
  <si>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</si>
  <si>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</si>
  <si>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</si>
  <si>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</si>
  <si>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</si>
  <si>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</si>
  <si>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</si>
  <si>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</si>
  <si>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</si>
  <si>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</si>
  <si>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</si>
  <si>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</si>
  <si>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</si>
  <si>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</si>
  <si>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</si>
  <si>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</si>
  <si>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</si>
  <si>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</si>
  <si>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</si>
  <si>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</si>
  <si>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</si>
  <si>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</si>
  <si>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</si>
  <si>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</si>
  <si>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</si>
  <si>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</si>
  <si>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</si>
  <si>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</si>
  <si>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</si>
  <si>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</si>
  <si>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</si>
  <si>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</si>
  <si>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</si>
  <si>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</si>
  <si>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</si>
  <si>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</si>
  <si>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</si>
  <si>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</si>
  <si>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</si>
  <si>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</si>
  <si>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</si>
  <si>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</si>
  <si>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</si>
  <si>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</si>
  <si>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</si>
  <si>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</si>
  <si>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</si>
  <si>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</si>
  <si>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</si>
  <si>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</si>
  <si>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</si>
  <si>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</si>
  <si>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</si>
  <si>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</si>
  <si>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</si>
  <si>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</si>
  <si>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</si>
  <si>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</si>
  <si>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</si>
  <si>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</si>
  <si>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</si>
  <si>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</si>
  <si>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</si>
  <si>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</si>
  <si>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</si>
  <si>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</si>
  <si>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</si>
  <si>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</si>
  <si>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</si>
  <si>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</si>
  <si>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</si>
  <si>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</si>
  <si>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</si>
  <si>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</si>
  <si>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</si>
  <si>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</si>
  <si>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</si>
  <si>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</si>
  <si>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</si>
  <si>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</si>
  <si>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</si>
  <si>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</si>
  <si>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</si>
  <si>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</si>
  <si>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</si>
  <si>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</si>
  <si>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</si>
  <si>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</si>
  <si>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</si>
  <si>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</si>
  <si>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</si>
  <si>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</si>
  <si>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</si>
  <si>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</si>
  <si>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</si>
  <si>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</si>
  <si>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</si>
  <si>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</si>
  <si>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</si>
  <si>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</si>
  <si>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</si>
  <si>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</si>
  <si>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</si>
  <si>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</si>
  <si>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</si>
  <si>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</si>
  <si>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</si>
  <si>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</si>
  <si>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</si>
  <si>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</si>
  <si>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</si>
  <si>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</si>
  <si>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</si>
  <si>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</si>
  <si>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</si>
  <si>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</si>
  <si>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</si>
  <si>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</si>
  <si>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</si>
  <si>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</si>
  <si>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</si>
  <si>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</si>
  <si>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</si>
  <si>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</si>
  <si>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</si>
  <si>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</si>
  <si>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</si>
  <si>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</si>
  <si>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</si>
  <si>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</si>
  <si>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</si>
  <si>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</si>
  <si>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</si>
  <si>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</si>
  <si>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</si>
  <si>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</si>
  <si>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</si>
  <si>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</si>
  <si>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</si>
  <si>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</si>
  <si>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</si>
  <si>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</si>
  <si>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</si>
  <si>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</si>
  <si>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</si>
  <si>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</si>
  <si>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</si>
  <si>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</si>
  <si>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</si>
  <si>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</si>
  <si>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</si>
  <si>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</si>
  <si>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</si>
  <si>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</si>
  <si>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</si>
  <si>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</si>
  <si>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</si>
  <si>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</si>
  <si>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</si>
  <si>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</si>
  <si>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</si>
  <si>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</si>
  <si>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</si>
  <si>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</si>
  <si>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</si>
  <si>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</si>
  <si>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</si>
  <si>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</si>
  <si>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</si>
  <si>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</si>
  <si>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</si>
  <si>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</si>
  <si>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</si>
  <si>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</si>
  <si>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</si>
  <si>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</si>
  <si>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</si>
  <si>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</si>
  <si>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</si>
  <si>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</si>
  <si>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</si>
  <si>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</si>
  <si>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</si>
  <si>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</si>
  <si>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</si>
  <si>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</si>
  <si>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</si>
  <si>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</si>
  <si>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</si>
  <si>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</si>
  <si>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</si>
  <si>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</si>
  <si>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</si>
  <si>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</si>
  <si>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</si>
  <si>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</si>
  <si>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</si>
  <si>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</si>
  <si>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</si>
  <si>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</si>
  <si>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</si>
  <si>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</si>
  <si>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</si>
  <si>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</si>
  <si>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</si>
  <si>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</si>
  <si>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</si>
  <si>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</si>
  <si>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</si>
  <si>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</si>
  <si>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</si>
  <si>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</si>
  <si>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</si>
  <si>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</si>
  <si>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</si>
  <si>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</si>
  <si>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</si>
  <si>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</si>
  <si>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</si>
  <si>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</si>
  <si>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</si>
  <si>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</si>
  <si>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</si>
  <si>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</si>
  <si>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</si>
  <si>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</si>
  <si>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</si>
  <si>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</si>
  <si>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</si>
  <si>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</si>
  <si>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</si>
  <si>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</si>
  <si>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</si>
  <si>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</si>
  <si>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</si>
  <si>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</si>
  <si>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</si>
  <si>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</si>
  <si>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</si>
  <si>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</si>
  <si>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</si>
  <si>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</si>
  <si>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</si>
  <si>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</si>
  <si>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</si>
  <si>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</si>
  <si>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</si>
  <si>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</si>
  <si>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</si>
  <si>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</si>
  <si>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</si>
  <si>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</si>
  <si>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</si>
  <si>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</si>
  <si>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</si>
  <si>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</si>
  <si>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</si>
  <si>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</si>
  <si>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</si>
  <si>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</si>
  <si>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</si>
  <si>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</si>
  <si>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</si>
  <si>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</si>
  <si>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</si>
  <si>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</si>
  <si>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</si>
  <si>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</si>
  <si>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</si>
  <si>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</si>
  <si>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</si>
  <si>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</si>
  <si>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</si>
  <si>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</si>
  <si>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</si>
  <si>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</si>
  <si>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</si>
  <si>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</si>
  <si>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</si>
  <si>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</si>
  <si>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</si>
  <si>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</si>
  <si>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</si>
  <si>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</si>
  <si>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</si>
  <si>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</si>
  <si>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</si>
  <si>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</si>
  <si>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</si>
  <si>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</si>
  <si>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</si>
  <si>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</si>
  <si>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</si>
  <si>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</si>
  <si>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</si>
  <si>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</si>
  <si>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</si>
  <si>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</si>
  <si>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</si>
  <si>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</si>
  <si>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</si>
  <si>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</si>
  <si>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</si>
  <si>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</si>
  <si>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</si>
  <si>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</si>
  <si>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</si>
  <si>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</si>
  <si>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</si>
  <si>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</si>
  <si>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</si>
  <si>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</si>
  <si>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</si>
  <si>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</si>
  <si>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</si>
  <si>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</si>
  <si>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</si>
  <si>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</si>
  <si>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</si>
  <si>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</si>
  <si>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</si>
  <si>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</si>
  <si>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</si>
  <si>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</si>
  <si>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</si>
  <si>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</si>
  <si>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</si>
  <si>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</si>
  <si>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</si>
  <si>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</si>
  <si>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</si>
  <si>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</si>
  <si>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</si>
  <si>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</si>
  <si>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</si>
  <si>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</si>
  <si>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</si>
  <si>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</si>
  <si>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</si>
  <si>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</si>
  <si>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</si>
  <si>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</si>
  <si>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</si>
  <si>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</si>
  <si>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</si>
  <si>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</si>
  <si>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</si>
  <si>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</si>
  <si>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</si>
  <si>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</si>
  <si>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</si>
  <si>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</si>
  <si>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</si>
  <si>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</si>
  <si>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</si>
  <si>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</si>
  <si>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</si>
  <si>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</si>
  <si>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</si>
  <si>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</si>
  <si>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</si>
  <si>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</si>
  <si>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</si>
  <si>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</si>
  <si>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</si>
  <si>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</si>
  <si>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</si>
  <si>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</si>
  <si>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</si>
  <si>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</si>
  <si>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</si>
  <si>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</si>
  <si>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</si>
  <si>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</si>
  <si>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</si>
  <si>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</si>
  <si>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</si>
  <si>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</si>
  <si>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</si>
  <si>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</si>
  <si>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</si>
  <si>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</si>
  <si>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</si>
  <si>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</si>
  <si>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</si>
  <si>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</si>
  <si>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</si>
  <si>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</si>
  <si>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</si>
  <si>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</si>
  <si>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</si>
  <si>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</si>
  <si>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</si>
  <si>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</si>
  <si>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</si>
  <si>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</si>
  <si>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</si>
  <si>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</si>
  <si>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</si>
  <si>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</si>
  <si>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</si>
  <si>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</si>
  <si>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</si>
  <si>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</si>
  <si>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</si>
  <si>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</si>
  <si>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</si>
  <si>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</si>
  <si>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</si>
  <si>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</si>
  <si>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</si>
  <si>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</si>
  <si>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</si>
  <si>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</si>
  <si>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</si>
  <si>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</si>
  <si>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</si>
  <si>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</si>
  <si>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</si>
  <si>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</si>
  <si>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</si>
  <si>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</si>
  <si>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</si>
  <si>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</si>
  <si>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</si>
  <si>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</si>
  <si>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</si>
  <si>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</si>
  <si>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</si>
  <si>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</si>
  <si>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</si>
  <si>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</si>
  <si>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</si>
  <si>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</si>
  <si>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</si>
  <si>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</si>
  <si>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</si>
  <si>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</si>
  <si>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</si>
  <si>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</si>
  <si>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</si>
  <si>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</si>
  <si>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</si>
  <si>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</si>
  <si>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</si>
  <si>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</si>
  <si>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</si>
  <si>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</si>
  <si>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</si>
  <si>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</si>
  <si>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</si>
  <si>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</si>
  <si>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</si>
  <si>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</si>
  <si>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</si>
  <si>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</si>
  <si>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</si>
  <si>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</si>
  <si>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</si>
  <si>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</si>
  <si>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</si>
  <si>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</si>
  <si>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</si>
  <si>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</si>
  <si>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</si>
  <si>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</si>
  <si>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</si>
  <si>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</si>
  <si>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</si>
  <si>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</si>
  <si>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</si>
  <si>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</si>
  <si>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</si>
  <si>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</si>
  <si>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</si>
  <si>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</si>
  <si>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</si>
  <si>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</si>
  <si>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</si>
  <si>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</si>
  <si>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</si>
  <si>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</si>
  <si>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</si>
  <si>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</si>
  <si>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</si>
  <si>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</si>
  <si>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</si>
  <si>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</si>
  <si>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</si>
  <si>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</si>
  <si>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</si>
  <si>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</si>
  <si>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</si>
  <si>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</si>
  <si>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</si>
  <si>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</si>
  <si>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</si>
  <si>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</si>
  <si>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</si>
  <si>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</si>
  <si>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</si>
  <si>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</si>
  <si>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</si>
  <si>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</si>
  <si>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</si>
  <si>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</si>
  <si>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</si>
  <si>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</si>
  <si>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</si>
  <si>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</si>
  <si>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</si>
  <si>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</si>
  <si>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</si>
  <si>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</si>
  <si>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</si>
  <si>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</si>
  <si>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</si>
  <si>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</si>
  <si>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</si>
  <si>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</si>
  <si>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</si>
  <si>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</si>
  <si>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</si>
  <si>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</si>
  <si>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</si>
  <si>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</si>
  <si>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</si>
  <si>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</si>
  <si>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</si>
  <si>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</si>
  <si>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</si>
  <si>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</si>
  <si>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</si>
  <si>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</si>
  <si>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</si>
  <si>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</si>
  <si>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</si>
  <si>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</si>
  <si>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</si>
  <si>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</si>
  <si>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</si>
  <si>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</si>
  <si>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</si>
  <si>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</si>
  <si>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</si>
  <si>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</si>
  <si>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</si>
  <si>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</si>
  <si>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</si>
  <si>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</si>
  <si>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</si>
  <si>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</si>
  <si>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</si>
  <si>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</si>
  <si>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</si>
  <si>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</si>
  <si>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</si>
  <si>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</si>
  <si>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</si>
  <si>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</si>
  <si>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</si>
  <si>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</si>
  <si>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</si>
  <si>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</si>
  <si>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</si>
  <si>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</si>
  <si>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</si>
  <si>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</si>
  <si>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</si>
  <si>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</si>
  <si>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</si>
  <si>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</si>
  <si>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</si>
  <si>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</si>
  <si>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</si>
  <si>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</si>
  <si>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</si>
  <si>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</si>
  <si>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</si>
  <si>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</si>
  <si>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</si>
  <si>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</si>
  <si>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</si>
  <si>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</si>
  <si>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</si>
  <si>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</si>
  <si>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</si>
  <si>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</si>
  <si>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</si>
  <si>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</si>
  <si>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</si>
  <si>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</si>
  <si>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</si>
  <si>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</si>
  <si>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</si>
  <si>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</si>
  <si>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</si>
  <si>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</si>
  <si>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</si>
  <si>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</si>
  <si>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</si>
  <si>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</si>
  <si>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</si>
  <si>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</si>
  <si>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</si>
  <si>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</si>
  <si>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</si>
  <si>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</si>
  <si>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</si>
  <si>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</si>
  <si>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</si>
  <si>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</si>
  <si>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</si>
  <si>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</si>
  <si>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</si>
  <si>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</si>
  <si>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</si>
  <si>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</si>
  <si>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</si>
  <si>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</si>
  <si>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</si>
  <si>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</si>
  <si>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</si>
  <si>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</si>
  <si>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</si>
  <si>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</si>
  <si>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</si>
  <si>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</si>
  <si>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</si>
  <si>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</si>
  <si>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</si>
  <si>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</si>
  <si>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</si>
  <si>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</si>
  <si>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</si>
  <si>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</si>
  <si>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</si>
  <si>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</si>
  <si>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</si>
  <si>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</si>
  <si>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</si>
  <si>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</si>
  <si>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</si>
  <si>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</si>
  <si>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</si>
  <si>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</si>
  <si>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</si>
  <si>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</si>
  <si>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</si>
  <si>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</si>
  <si>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</si>
  <si>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</si>
  <si>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</si>
  <si>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</si>
  <si>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</si>
  <si>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</si>
  <si>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</si>
  <si>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</si>
  <si>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</si>
  <si>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</si>
  <si>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</si>
  <si>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</si>
  <si>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</si>
  <si>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</si>
  <si>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</si>
  <si>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</si>
  <si>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</si>
  <si>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</si>
  <si>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</si>
  <si>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</si>
  <si>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</si>
  <si>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</si>
  <si>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</si>
  <si>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</si>
  <si>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</si>
  <si>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</si>
  <si>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</si>
  <si>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</si>
  <si>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</si>
  <si>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</si>
  <si>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</si>
  <si>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</si>
  <si>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</si>
  <si>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</si>
  <si>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</si>
  <si>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</si>
  <si>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</si>
  <si>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</si>
  <si>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</si>
  <si>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</si>
  <si>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</si>
  <si>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</si>
  <si>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</si>
  <si>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</si>
  <si>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</si>
  <si>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</si>
  <si>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</si>
  <si>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</si>
  <si>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</si>
  <si>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</si>
  <si>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</si>
  <si>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</si>
  <si>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</si>
  <si>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</si>
  <si>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</si>
  <si>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</si>
  <si>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</si>
  <si>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</si>
  <si>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</si>
  <si>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</si>
  <si>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</si>
  <si>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</si>
  <si>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</si>
  <si>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</si>
  <si>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</si>
  <si>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</si>
  <si>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</si>
  <si>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</si>
  <si>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</si>
  <si>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</si>
  <si>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</si>
  <si>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</si>
  <si>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</si>
  <si>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</si>
  <si>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</si>
  <si>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</si>
  <si>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</si>
  <si>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</si>
  <si>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</si>
  <si>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</si>
  <si>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</si>
  <si>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</si>
  <si>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</si>
  <si>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</si>
  <si>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</si>
  <si>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</si>
  <si>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</si>
  <si>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</si>
  <si>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</si>
  <si>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</si>
  <si>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</si>
  <si>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</si>
  <si>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</si>
  <si>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</si>
  <si>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</si>
  <si>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</si>
  <si>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</si>
  <si>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</si>
  <si>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</si>
  <si>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</si>
  <si>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</si>
  <si>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</si>
  <si>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</si>
  <si>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</si>
  <si>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</si>
  <si>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</si>
  <si>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</si>
  <si>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</si>
  <si>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</si>
  <si>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</si>
  <si>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</si>
  <si>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</si>
  <si>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</si>
  <si>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</si>
  <si>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</si>
  <si>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</si>
  <si>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</si>
  <si>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</si>
  <si>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</si>
  <si>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</si>
  <si>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</si>
  <si>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</si>
  <si>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</si>
  <si>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</si>
  <si>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</si>
  <si>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</si>
  <si>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</si>
  <si>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</si>
  <si>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</si>
  <si>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</si>
  <si>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</si>
  <si>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</si>
  <si>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</si>
  <si>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</si>
  <si>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</si>
  <si>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</si>
  <si>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</si>
  <si>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</si>
  <si>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</si>
  <si>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</si>
  <si>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</si>
  <si>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</si>
  <si>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</si>
  <si>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</si>
  <si>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</si>
  <si>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</si>
  <si>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</si>
  <si>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</si>
  <si>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</si>
  <si>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</si>
  <si>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</si>
  <si>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</si>
  <si>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</si>
  <si>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</si>
  <si>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</si>
  <si>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</si>
  <si>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</si>
  <si>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</si>
  <si>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</si>
  <si>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</si>
  <si>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</si>
  <si>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</si>
  <si>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</si>
  <si>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</si>
  <si>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</si>
  <si>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</si>
  <si>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</si>
  <si>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</si>
  <si>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</si>
  <si>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</si>
  <si>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</si>
  <si>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</si>
  <si>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</si>
  <si>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</si>
  <si>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</si>
  <si>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</si>
  <si>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</si>
  <si>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</si>
  <si>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</si>
  <si>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</si>
  <si>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</si>
  <si>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</si>
  <si>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</si>
  <si>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</si>
  <si>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</si>
  <si>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</si>
  <si>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</si>
  <si>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</si>
  <si>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</si>
  <si>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</si>
  <si>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</si>
  <si>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</si>
  <si>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</si>
  <si>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</si>
  <si>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</si>
  <si>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</si>
  <si>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</si>
  <si>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</si>
  <si>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</si>
  <si>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</si>
  <si>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</si>
  <si>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</si>
  <si>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</si>
  <si>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</si>
  <si>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</si>
  <si>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</si>
  <si>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</si>
  <si>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</si>
  <si>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</si>
  <si>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</si>
  <si>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</si>
  <si>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</si>
  <si>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</si>
  <si>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</si>
  <si>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</si>
  <si>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</si>
  <si>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</si>
  <si>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</si>
  <si>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</si>
  <si>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</si>
  <si>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</si>
  <si>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</si>
  <si>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</si>
  <si>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</si>
  <si>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</si>
  <si>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</si>
  <si>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</si>
  <si>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</si>
  <si>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</si>
  <si>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</si>
  <si>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</si>
  <si>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</si>
  <si>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</si>
  <si>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</si>
  <si>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</si>
  <si>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</si>
  <si>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</si>
  <si>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</si>
  <si>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</si>
  <si>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</si>
  <si>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</si>
  <si>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</si>
  <si>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</si>
  <si>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</si>
  <si>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</si>
  <si>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</si>
  <si>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</si>
  <si>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</si>
  <si>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</si>
  <si>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</si>
  <si>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</si>
  <si>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</si>
  <si>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</si>
  <si>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</si>
  <si>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</si>
  <si>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</si>
  <si>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</si>
  <si>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</si>
  <si>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</si>
  <si>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</si>
  <si>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</si>
  <si>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</si>
  <si>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</si>
  <si>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</si>
  <si>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</si>
  <si>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</si>
  <si>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</si>
  <si>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</si>
  <si>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</si>
  <si>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</si>
  <si>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</si>
  <si>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</si>
  <si>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</si>
  <si>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</si>
  <si>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</si>
  <si>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</si>
  <si>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</si>
  <si>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</si>
  <si>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</si>
  <si>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</si>
  <si>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</si>
  <si>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</si>
  <si>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</si>
  <si>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</si>
  <si>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</si>
  <si>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</si>
  <si>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</si>
  <si>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</si>
  <si>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</si>
  <si>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</si>
  <si>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</si>
  <si>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</si>
  <si>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</si>
  <si>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</si>
  <si>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</si>
  <si>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</si>
  <si>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</si>
  <si>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</si>
  <si>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</si>
  <si>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</si>
  <si>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</si>
  <si>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</si>
  <si>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</si>
  <si>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</si>
  <si>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</si>
  <si>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</si>
  <si>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</si>
  <si>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</si>
  <si>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</si>
  <si>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</si>
  <si>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</si>
  <si>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</si>
  <si>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</si>
  <si>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</si>
  <si>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</si>
  <si>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</si>
  <si>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</si>
  <si>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</si>
  <si>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</si>
  <si>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</si>
  <si>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</si>
  <si>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</si>
  <si>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</si>
  <si>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</si>
  <si>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</si>
  <si>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</si>
  <si>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</si>
  <si>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</si>
  <si>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</si>
  <si>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</si>
  <si>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</si>
  <si>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</si>
  <si>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</si>
  <si>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</si>
  <si>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</si>
  <si>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</si>
  <si>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</si>
  <si>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</si>
  <si>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</si>
  <si>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</si>
  <si>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</si>
  <si>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</si>
  <si>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</si>
  <si>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</si>
  <si>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</si>
  <si>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</si>
  <si>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</si>
  <si>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</si>
  <si>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</si>
  <si>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</si>
  <si>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</si>
  <si>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</si>
  <si>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</si>
  <si>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</si>
  <si>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</si>
  <si>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</si>
  <si>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</si>
  <si>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</si>
  <si>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</si>
  <si>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</si>
  <si>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</si>
  <si>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</si>
  <si>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</si>
  <si>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</si>
  <si>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</si>
  <si>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</si>
  <si>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</si>
  <si>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</si>
  <si>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</si>
  <si>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</si>
  <si>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</si>
  <si>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</si>
  <si>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</si>
  <si>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</si>
  <si>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</si>
  <si>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</si>
  <si>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</si>
  <si>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</si>
  <si>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</si>
  <si>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</si>
  <si>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</si>
  <si>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</si>
  <si>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</si>
  <si>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</si>
  <si>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</si>
  <si>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</si>
  <si>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</si>
  <si>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</si>
  <si>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</si>
  <si>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</si>
  <si>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</si>
  <si>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</si>
  <si>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</si>
  <si>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</si>
  <si>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</si>
  <si>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</si>
  <si>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</si>
  <si>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</si>
  <si>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</si>
  <si>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</si>
  <si>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</si>
  <si>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</si>
  <si>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</si>
  <si>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</si>
  <si>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</si>
  <si>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</si>
  <si>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</si>
  <si>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</si>
  <si>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</si>
  <si>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</si>
  <si>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</si>
  <si>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</si>
  <si>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</si>
  <si>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</si>
  <si>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</si>
  <si>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</si>
  <si>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</si>
  <si>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</si>
  <si>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</si>
  <si>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</si>
  <si>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</si>
  <si>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</si>
  <si>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</si>
  <si>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</si>
  <si>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</si>
  <si>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</si>
  <si>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</si>
  <si>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</si>
  <si>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</si>
  <si>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</si>
  <si>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</si>
  <si>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</si>
  <si>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</si>
  <si>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</si>
  <si>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</si>
  <si>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</si>
  <si>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</si>
  <si>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</si>
  <si>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</si>
  <si>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</si>
  <si>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</si>
  <si>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</si>
  <si>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</si>
  <si>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</si>
  <si>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</si>
  <si>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</si>
  <si>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</si>
  <si>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</si>
  <si>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</si>
  <si>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</si>
  <si>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</si>
  <si>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</si>
  <si>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</si>
  <si>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</si>
  <si>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</si>
  <si>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</si>
  <si>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</si>
  <si>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</si>
  <si>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</si>
  <si>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</si>
  <si>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</si>
  <si>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</si>
  <si>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</si>
  <si>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</si>
  <si>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</si>
  <si>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</si>
  <si>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</si>
  <si>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</si>
  <si>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</si>
  <si>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</si>
  <si>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</si>
  <si>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</si>
  <si>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</si>
  <si>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</si>
  <si>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</si>
  <si>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</si>
  <si>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</si>
  <si>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</si>
  <si>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</si>
  <si>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</si>
  <si>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</si>
  <si>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</si>
  <si>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</si>
  <si>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</si>
  <si>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</si>
  <si>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</si>
  <si>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</si>
  <si>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</si>
  <si>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</si>
  <si>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</si>
  <si>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</si>
  <si>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</si>
  <si>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</si>
  <si>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</si>
  <si>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</si>
  <si>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</si>
  <si>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</si>
  <si>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</si>
  <si>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</si>
  <si>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</si>
  <si>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</si>
  <si>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</si>
  <si>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</si>
  <si>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</si>
  <si>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</si>
  <si>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</si>
  <si>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</si>
  <si>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</si>
  <si>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</si>
  <si>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</si>
  <si>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</si>
  <si>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</si>
  <si>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</si>
  <si>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</si>
  <si>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</si>
  <si>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</si>
  <si>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</si>
  <si>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</si>
  <si>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</si>
  <si>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</si>
  <si>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</si>
  <si>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</si>
  <si>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</si>
  <si>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</si>
  <si>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</si>
  <si>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</si>
  <si>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</si>
  <si>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</si>
  <si>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</si>
  <si>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</si>
  <si>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</si>
  <si>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</si>
  <si>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</si>
  <si>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</si>
  <si>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</si>
  <si>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</si>
  <si>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</si>
  <si>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</si>
  <si>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</si>
  <si>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</si>
  <si>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</si>
  <si>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</si>
  <si>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</si>
  <si>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</si>
  <si>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</si>
  <si>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</si>
  <si>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</si>
  <si>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</si>
  <si>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</si>
  <si>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</si>
  <si>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</si>
  <si>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</si>
  <si>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</si>
  <si>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</si>
  <si>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</si>
  <si>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</si>
  <si>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</si>
  <si>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</si>
  <si>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</si>
  <si>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</si>
  <si>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</si>
  <si>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</si>
  <si>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</si>
  <si>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</si>
  <si>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</si>
  <si>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</si>
  <si>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</si>
  <si>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</si>
  <si>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</si>
  <si>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</si>
  <si>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</si>
  <si>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</si>
  <si>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</si>
  <si>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</si>
  <si>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</si>
  <si>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</si>
  <si>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</si>
  <si>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</si>
  <si>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</si>
  <si>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</si>
  <si>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</si>
  <si>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</si>
  <si>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</si>
  <si>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</si>
  <si>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</si>
  <si>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</si>
  <si>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</si>
  <si>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</si>
  <si>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</si>
  <si>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</si>
  <si>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</si>
  <si>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</si>
  <si>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</si>
  <si>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</si>
  <si>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</si>
  <si>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</si>
  <si>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</si>
  <si>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</si>
  <si>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</si>
  <si>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</si>
  <si>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</si>
  <si>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</si>
  <si>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</si>
  <si>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</si>
  <si>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</si>
  <si>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</si>
  <si>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</si>
  <si>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</si>
  <si>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</si>
  <si>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</si>
  <si>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</si>
  <si>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</si>
  <si>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</si>
  <si>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</si>
  <si>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</si>
  <si>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</si>
  <si>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</si>
  <si>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</si>
  <si>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</si>
  <si>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</si>
  <si>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</si>
  <si>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</si>
  <si>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</si>
  <si>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</si>
  <si>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</si>
  <si>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</si>
  <si>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</si>
  <si>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</si>
  <si>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</si>
  <si>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</si>
  <si>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</si>
  <si>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</si>
  <si>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</si>
  <si>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</si>
  <si>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</si>
  <si>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</si>
  <si>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</si>
  <si>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</si>
  <si>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</si>
  <si>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</si>
  <si>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</si>
  <si>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</si>
  <si>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</si>
  <si>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</si>
  <si>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</si>
  <si>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</si>
  <si>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</si>
  <si>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</si>
  <si>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</si>
  <si>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</si>
  <si>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</si>
  <si>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</si>
  <si>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</si>
  <si>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</si>
  <si>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</si>
  <si>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</si>
  <si>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</si>
  <si>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</si>
  <si>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</si>
  <si>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</si>
  <si>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</si>
  <si>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</si>
  <si>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</si>
  <si>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</si>
  <si>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</si>
  <si>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</si>
  <si>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</si>
  <si>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</si>
  <si>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</si>
  <si>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</si>
  <si>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</si>
  <si>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</si>
  <si>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</si>
  <si>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</si>
  <si>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</si>
  <si>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</si>
  <si>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</si>
  <si>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</si>
  <si>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</si>
  <si>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</si>
  <si>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</si>
  <si>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</si>
  <si>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</si>
  <si>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</si>
  <si>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</si>
  <si>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</si>
  <si>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</si>
  <si>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</si>
  <si>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</si>
  <si>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</si>
  <si>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</si>
  <si>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</si>
  <si>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</si>
  <si>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</si>
  <si>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</si>
  <si>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</si>
  <si>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</si>
  <si>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</si>
  <si>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</si>
  <si>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</si>
  <si>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</si>
  <si>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</si>
  <si>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</si>
  <si>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</si>
  <si>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</si>
  <si>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</si>
  <si>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</si>
  <si>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</si>
  <si>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</si>
  <si>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</si>
  <si>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</si>
  <si>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</si>
  <si>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</si>
  <si>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</si>
  <si>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</si>
  <si>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</si>
  <si>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</si>
  <si>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</si>
  <si>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</si>
  <si>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</si>
  <si>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</si>
  <si>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</si>
  <si>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</si>
  <si>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</si>
  <si>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</si>
  <si>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</si>
  <si>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</si>
  <si>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</si>
  <si>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</si>
  <si>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</si>
  <si>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</si>
  <si>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</si>
  <si>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</si>
  <si>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</si>
  <si>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</si>
  <si>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</si>
  <si>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</si>
  <si>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</si>
  <si>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</si>
  <si>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</si>
  <si>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</si>
  <si>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</si>
  <si>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</si>
  <si>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</si>
  <si>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</si>
  <si>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</si>
  <si>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</si>
  <si>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</si>
  <si>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</si>
  <si>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</si>
  <si>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</si>
  <si>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</si>
  <si>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</si>
  <si>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</si>
  <si>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</si>
  <si>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</si>
  <si>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</si>
  <si>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</si>
  <si>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</si>
  <si>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</si>
  <si>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</si>
  <si>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</si>
  <si>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</si>
  <si>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</si>
  <si>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</si>
  <si>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</si>
  <si>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</si>
  <si>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</si>
  <si>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</si>
  <si>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</si>
  <si>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</si>
  <si>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</si>
  <si>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</si>
  <si>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</si>
  <si>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</si>
  <si>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</si>
  <si>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</si>
  <si>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</si>
  <si>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</si>
  <si>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</si>
  <si>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</si>
  <si>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</si>
  <si>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</si>
  <si>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</si>
  <si>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</si>
  <si>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</si>
  <si>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</si>
  <si>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</si>
  <si>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</si>
  <si>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</si>
  <si>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</si>
  <si>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</si>
  <si>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</si>
  <si>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</si>
  <si>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</si>
  <si>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</si>
  <si>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</si>
  <si>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</si>
  <si>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</si>
  <si>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</si>
  <si>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</si>
  <si>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</si>
  <si>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</si>
  <si>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</si>
  <si>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</si>
  <si>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</si>
  <si>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</si>
  <si>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</si>
  <si>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</si>
  <si>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</si>
  <si>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</si>
  <si>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</si>
  <si>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</si>
  <si>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</si>
  <si>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</si>
  <si>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</si>
  <si>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</si>
  <si>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</si>
  <si>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</si>
  <si>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</si>
  <si>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</si>
  <si>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</si>
  <si>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</si>
  <si>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</si>
  <si>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</si>
  <si>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</si>
  <si>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</si>
  <si>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</si>
  <si>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</si>
  <si>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</si>
  <si>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</si>
  <si>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</si>
  <si>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</si>
  <si>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</si>
  <si>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</si>
  <si>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</si>
  <si>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</si>
  <si>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</si>
  <si>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</si>
  <si>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</si>
  <si>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</si>
  <si>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</si>
  <si>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</si>
  <si>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</si>
  <si>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</si>
  <si>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</si>
  <si>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</si>
  <si>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</si>
  <si>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</si>
  <si>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</si>
  <si>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</si>
  <si>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</si>
  <si>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</si>
  <si>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</si>
  <si>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</si>
  <si>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</si>
  <si>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</si>
  <si>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</si>
  <si>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</si>
  <si>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</si>
  <si>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</si>
  <si>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</si>
  <si>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</si>
  <si>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</si>
  <si>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</si>
  <si>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</si>
  <si>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</si>
  <si>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</si>
  <si>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</si>
  <si>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</si>
  <si>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</si>
  <si>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</si>
  <si>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</si>
  <si>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</si>
  <si>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</si>
  <si>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</si>
  <si>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</si>
  <si>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</si>
  <si>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</si>
  <si>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</si>
  <si>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</si>
  <si>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</si>
  <si>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</si>
  <si>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</si>
  <si>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</si>
  <si>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</si>
  <si>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</si>
  <si>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</si>
  <si>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</si>
  <si>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</si>
  <si>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</si>
  <si>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</si>
  <si>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</si>
  <si>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</si>
  <si>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</si>
  <si>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</si>
  <si>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</si>
  <si>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</si>
  <si>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</si>
  <si>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</si>
  <si>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</si>
  <si>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</si>
  <si>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</si>
  <si>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</si>
  <si>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</si>
  <si>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</si>
  <si>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</si>
  <si>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</si>
  <si>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</si>
  <si>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</si>
  <si>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</si>
  <si>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</si>
  <si>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</si>
  <si>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</si>
  <si>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</si>
  <si>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</si>
  <si>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</si>
  <si>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</si>
  <si>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</si>
  <si>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</si>
  <si>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</si>
  <si>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</si>
  <si>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</si>
  <si>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</si>
  <si>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</si>
  <si>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</si>
  <si>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</si>
  <si>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</si>
  <si>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</si>
  <si>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</si>
  <si>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</si>
  <si>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</si>
  <si>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</si>
  <si>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</si>
  <si>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</si>
  <si>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</si>
  <si>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</si>
  <si>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</si>
  <si>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</si>
  <si>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</si>
  <si>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</si>
  <si>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</si>
  <si>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</si>
  <si>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</si>
  <si>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</si>
  <si>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</si>
  <si>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</si>
  <si>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</si>
  <si>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</si>
  <si>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</si>
  <si>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</si>
  <si>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</si>
  <si>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</si>
  <si>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</si>
  <si>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</si>
  <si>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</si>
  <si>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</si>
  <si>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</si>
  <si>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</si>
  <si>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</si>
  <si>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</si>
  <si>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</si>
  <si>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</si>
  <si>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</si>
  <si>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</si>
  <si>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</si>
  <si>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</si>
  <si>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</si>
  <si>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</si>
  <si>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</si>
  <si>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</si>
  <si>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</si>
  <si>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</si>
  <si>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</si>
  <si>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</si>
  <si>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</si>
  <si>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</si>
  <si>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</si>
  <si>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</si>
  <si>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</si>
  <si>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</si>
  <si>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</si>
  <si>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</si>
  <si>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</si>
  <si>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</si>
  <si>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</si>
  <si>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</si>
  <si>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</si>
  <si>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</si>
  <si>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</si>
  <si>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</si>
  <si>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</si>
  <si>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</si>
  <si>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</si>
  <si>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</si>
  <si>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</si>
  <si>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</si>
  <si>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</si>
  <si>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</si>
  <si>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</si>
  <si>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</si>
  <si>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</si>
  <si>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</si>
  <si>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</si>
  <si>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</si>
  <si>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</si>
  <si>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</si>
  <si>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</si>
  <si>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</si>
  <si>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</si>
  <si>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</si>
  <si>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</si>
  <si>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</si>
  <si>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</si>
  <si>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</si>
  <si>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</si>
  <si>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</si>
  <si>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</si>
  <si>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</si>
  <si>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</si>
  <si>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</si>
  <si>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</si>
  <si>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</si>
  <si>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</si>
  <si>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</si>
  <si>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</si>
  <si>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</si>
  <si>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</si>
  <si>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</si>
  <si>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</si>
  <si>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</si>
  <si>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</si>
  <si>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</si>
  <si>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</si>
  <si>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</si>
  <si>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</si>
  <si>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</si>
  <si>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</si>
  <si>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</si>
  <si>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</si>
  <si>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</si>
  <si>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</si>
  <si>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</si>
  <si>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</si>
  <si>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</si>
  <si>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</si>
  <si>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</si>
  <si>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</si>
  <si>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</si>
  <si>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</si>
  <si>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</si>
  <si>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</si>
  <si>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</si>
  <si>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</si>
  <si>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</si>
  <si>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</si>
  <si>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</si>
  <si>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</si>
  <si>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</si>
  <si>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</si>
  <si>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</si>
  <si>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</si>
  <si>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</si>
  <si>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</si>
  <si>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</si>
  <si>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</si>
  <si>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</si>
  <si>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</si>
  <si>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</si>
  <si>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</si>
  <si>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</si>
  <si>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</si>
  <si>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</si>
  <si>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</si>
  <si>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</si>
  <si>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</si>
  <si>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</si>
  <si>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</si>
  <si>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</si>
  <si>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</si>
  <si>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</si>
  <si>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</si>
  <si>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</si>
  <si>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</si>
  <si>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</si>
  <si>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</si>
  <si>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</si>
  <si>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</si>
  <si>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</si>
  <si>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</si>
  <si>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</si>
  <si>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</si>
  <si>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</si>
  <si>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</si>
  <si>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</si>
  <si>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</si>
  <si>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</si>
  <si>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</si>
  <si>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</si>
  <si>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</si>
  <si>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</si>
  <si>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</si>
  <si>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</si>
  <si>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</si>
  <si>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</si>
  <si>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</si>
  <si>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</si>
  <si>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</si>
  <si>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</si>
  <si>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</si>
  <si>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</si>
  <si>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</si>
  <si>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</si>
  <si>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</si>
  <si>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</si>
  <si>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</si>
  <si>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</si>
  <si>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</si>
  <si>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</si>
  <si>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</si>
  <si>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</si>
  <si>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</si>
  <si>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</si>
  <si>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</si>
  <si>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</si>
  <si>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</si>
  <si>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</si>
  <si>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</si>
  <si>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</si>
  <si>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</si>
  <si>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</si>
  <si>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</si>
  <si>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</si>
  <si>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</si>
  <si>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</si>
  <si>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</si>
  <si>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</si>
  <si>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</si>
  <si>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</si>
  <si>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</si>
  <si>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</si>
  <si>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</si>
  <si>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</si>
  <si>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</si>
  <si>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</si>
  <si>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</si>
  <si>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</si>
  <si>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</si>
  <si>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</si>
  <si>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</si>
  <si>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</si>
  <si>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</si>
  <si>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</si>
  <si>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</si>
  <si>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</si>
  <si>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</si>
  <si>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</si>
  <si>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</si>
  <si>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</si>
  <si>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</si>
  <si>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</si>
  <si>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</si>
  <si>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</si>
  <si>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</si>
  <si>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</si>
  <si>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</si>
  <si>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</si>
  <si>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</si>
  <si>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</si>
  <si>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</si>
  <si>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</si>
  <si>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</si>
  <si>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</si>
  <si>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</si>
  <si>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</si>
  <si>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</si>
  <si>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</si>
  <si>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</si>
  <si>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</si>
  <si>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</si>
  <si>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</si>
  <si>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</si>
  <si>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</si>
  <si>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</si>
  <si>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</si>
  <si>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</si>
  <si>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</si>
  <si>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</si>
  <si>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</si>
  <si>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</si>
  <si>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</si>
  <si>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</si>
  <si>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</si>
  <si>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</si>
  <si>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</si>
  <si>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</si>
  <si>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</si>
  <si>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</si>
  <si>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</si>
  <si>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</si>
  <si>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</si>
  <si>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</si>
  <si>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</si>
  <si>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</si>
  <si>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</si>
  <si>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</si>
  <si>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</si>
  <si>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</si>
  <si>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</si>
  <si>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</si>
  <si>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</si>
  <si>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</si>
  <si>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</si>
  <si>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</si>
  <si>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</si>
  <si>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</si>
  <si>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</si>
  <si>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</si>
  <si>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</si>
  <si>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</si>
  <si>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</si>
  <si>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</si>
  <si>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</si>
  <si>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</si>
  <si>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</si>
  <si>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</si>
  <si>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</si>
  <si>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</si>
  <si>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</si>
  <si>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</si>
  <si>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</si>
  <si>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</si>
  <si>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</si>
  <si>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</si>
  <si>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</si>
  <si>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</si>
  <si>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</si>
  <si>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</si>
  <si>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</si>
  <si>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</si>
  <si>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</si>
  <si>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</si>
  <si>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</si>
  <si>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</si>
  <si>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</si>
  <si>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</si>
  <si>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</si>
  <si>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</si>
  <si>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</si>
  <si>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</si>
  <si>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</si>
  <si>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</si>
  <si>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</si>
  <si>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</si>
  <si>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</si>
  <si>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</si>
  <si>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</si>
  <si>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</si>
  <si>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</si>
  <si>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</si>
  <si>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</si>
  <si>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</si>
  <si>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</si>
  <si>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</si>
  <si>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</si>
  <si>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</si>
  <si>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</si>
  <si>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</si>
  <si>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</si>
  <si>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</si>
  <si>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</si>
  <si>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</si>
  <si>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</si>
  <si>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</si>
  <si>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</si>
  <si>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</si>
  <si>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</si>
  <si>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</si>
  <si>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</si>
  <si>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</si>
  <si>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</si>
  <si>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</si>
  <si>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</si>
  <si>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</si>
  <si>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</si>
  <si>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</si>
  <si>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</si>
  <si>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</si>
  <si>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</si>
  <si>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</si>
  <si>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</si>
  <si>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</si>
  <si>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</si>
  <si>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</si>
  <si>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</si>
  <si>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</si>
  <si>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</si>
  <si>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</si>
  <si>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</si>
  <si>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</si>
  <si>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</si>
  <si>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</si>
  <si>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</si>
  <si>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</si>
  <si>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</si>
  <si>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</si>
  <si>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</si>
  <si>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</si>
  <si>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</si>
  <si>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</si>
  <si>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</si>
  <si>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</si>
  <si>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</si>
  <si>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</si>
  <si>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</si>
  <si>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</si>
  <si>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</si>
  <si>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</si>
  <si>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</si>
  <si>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</si>
  <si>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</si>
  <si>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</si>
  <si>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</si>
  <si>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</si>
  <si>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</si>
  <si>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</si>
  <si>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</si>
  <si>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</si>
  <si>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</si>
  <si>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</si>
  <si>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</si>
  <si>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</si>
  <si>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</si>
  <si>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</si>
  <si>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</si>
  <si>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</si>
  <si>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</si>
  <si>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</si>
  <si>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</si>
  <si>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</si>
  <si>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</si>
  <si>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</si>
  <si>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</si>
  <si>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</si>
  <si>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</si>
  <si>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</si>
  <si>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</si>
  <si>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</si>
  <si>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</si>
  <si>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</si>
  <si>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</si>
  <si>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</si>
  <si>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</si>
  <si>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</si>
  <si>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</si>
  <si>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</si>
  <si>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</si>
  <si>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</si>
  <si>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</si>
  <si>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</si>
  <si>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</si>
  <si>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</si>
  <si>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</si>
  <si>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</si>
  <si>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</si>
  <si>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</si>
  <si>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</si>
  <si>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</si>
  <si>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</si>
  <si>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</si>
  <si>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</si>
  <si>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</si>
  <si>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</si>
  <si>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</si>
  <si>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</si>
  <si>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</si>
  <si>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</si>
  <si>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</si>
  <si>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</si>
  <si>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</si>
  <si>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</si>
  <si>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</si>
  <si>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</si>
  <si>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</si>
  <si>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</si>
  <si>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</si>
  <si>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</si>
  <si>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</si>
  <si>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</si>
  <si>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</si>
  <si>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</si>
  <si>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</si>
  <si>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</si>
  <si>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</si>
  <si>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</si>
  <si>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</si>
  <si>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</si>
  <si>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</si>
  <si>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</si>
  <si>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</si>
  <si>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</si>
  <si>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</si>
  <si>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</si>
  <si>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</si>
  <si>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</si>
  <si>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</si>
  <si>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</si>
  <si>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</si>
  <si>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</si>
  <si>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</si>
  <si>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</si>
  <si>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</si>
  <si>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</si>
  <si>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</si>
  <si>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</si>
  <si>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</si>
  <si>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</si>
  <si>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</si>
  <si>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</si>
  <si>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</si>
  <si>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</si>
  <si>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</si>
  <si>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</si>
  <si>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</si>
  <si>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</si>
  <si>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</si>
  <si>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</si>
  <si>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</si>
  <si>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</si>
  <si>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</si>
  <si>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</si>
  <si>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</si>
  <si>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</si>
  <si>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</si>
  <si>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</si>
  <si>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</si>
  <si>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</si>
  <si>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</si>
  <si>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</si>
  <si>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</si>
  <si>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</si>
  <si>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</si>
  <si>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</si>
  <si>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</si>
  <si>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</si>
  <si>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</si>
  <si>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</si>
  <si>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</si>
  <si>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</si>
  <si>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</si>
  <si>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</si>
  <si>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</si>
  <si>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</si>
  <si>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</si>
  <si>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</si>
  <si>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</si>
  <si>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</si>
  <si>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</si>
  <si>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</si>
  <si>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</si>
  <si>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</si>
  <si>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</si>
  <si>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</si>
  <si>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</si>
  <si>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</si>
  <si>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</si>
  <si>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</si>
  <si>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</si>
  <si>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</si>
  <si>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</si>
  <si>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</si>
  <si>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</si>
  <si>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</si>
  <si>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</si>
  <si>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</si>
  <si>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</si>
  <si>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</si>
  <si>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</si>
  <si>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</si>
  <si>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</si>
  <si>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</si>
  <si>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</si>
  <si>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</si>
  <si>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</si>
  <si>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</si>
  <si>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</si>
  <si>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</si>
  <si>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</si>
  <si>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</si>
  <si>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</si>
  <si>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</si>
  <si>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</si>
  <si>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</si>
  <si>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</si>
  <si>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</si>
  <si>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</si>
  <si>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</si>
  <si>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</si>
  <si>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</si>
  <si>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</si>
  <si>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</si>
  <si>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</si>
  <si>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</si>
  <si>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</si>
  <si>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</si>
  <si>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</si>
  <si>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</si>
  <si>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</si>
  <si>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</si>
  <si>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</si>
  <si>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</si>
  <si>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</si>
  <si>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</si>
  <si>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</si>
  <si>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</si>
  <si>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</si>
  <si>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</si>
  <si>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</si>
  <si>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</si>
  <si>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</si>
  <si>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</si>
  <si>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</si>
  <si>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</si>
  <si>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</si>
  <si>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</si>
  <si>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</si>
  <si>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</si>
  <si>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</si>
  <si>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</si>
  <si>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</si>
  <si>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</si>
  <si>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</si>
  <si>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</si>
  <si>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</si>
  <si>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</si>
  <si>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</si>
  <si>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</si>
  <si>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</si>
  <si>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</si>
  <si>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</si>
  <si>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</si>
  <si>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</si>
  <si>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</si>
  <si>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</si>
  <si>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</si>
  <si>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</si>
  <si>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</si>
  <si>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</si>
  <si>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</si>
  <si>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</si>
  <si>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</si>
  <si>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</si>
  <si>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</si>
  <si>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</si>
  <si>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</si>
  <si>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</si>
  <si>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</si>
  <si>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</si>
  <si>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</si>
  <si>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</si>
  <si>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</si>
  <si>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</si>
  <si>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</si>
  <si>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</si>
  <si>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</si>
  <si>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</si>
  <si>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</si>
  <si>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</si>
  <si>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</si>
  <si>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</si>
  <si>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</si>
  <si>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</si>
  <si>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</si>
  <si>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</si>
  <si>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</si>
  <si>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</si>
  <si>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</si>
  <si>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</si>
  <si>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</si>
  <si>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</si>
  <si>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</si>
  <si>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</si>
  <si>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</si>
  <si>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</si>
  <si>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</si>
  <si>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</si>
  <si>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</si>
  <si>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</si>
  <si>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</si>
  <si>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</si>
  <si>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</si>
  <si>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</si>
  <si>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</si>
  <si>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</si>
  <si>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</si>
  <si>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</si>
  <si>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</si>
  <si>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</si>
  <si>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</si>
  <si>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</si>
  <si>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</si>
  <si>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</si>
  <si>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</si>
  <si>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</si>
  <si>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</si>
  <si>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</si>
  <si>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</si>
  <si>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</si>
  <si>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</si>
  <si>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</si>
  <si>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</si>
  <si>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</si>
  <si>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</si>
  <si>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</si>
  <si>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</si>
  <si>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</si>
  <si>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</si>
  <si>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</si>
  <si>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</si>
  <si>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</si>
  <si>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</si>
  <si>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</si>
  <si>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</si>
  <si>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</si>
  <si>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</si>
  <si>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</si>
  <si>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</si>
  <si>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</si>
  <si>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</si>
  <si>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</si>
  <si>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</si>
  <si>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</si>
  <si>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</si>
  <si>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</si>
  <si>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</si>
  <si>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</si>
  <si>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</si>
  <si>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</si>
  <si>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</si>
  <si>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</si>
  <si>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</si>
  <si>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</si>
  <si>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</si>
  <si>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</si>
  <si>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</si>
  <si>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</si>
  <si>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</si>
  <si>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</si>
  <si>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</si>
  <si>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</si>
  <si>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</si>
  <si>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</si>
  <si>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</si>
  <si>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</si>
  <si>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</si>
  <si>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</si>
  <si>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</si>
  <si>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</si>
  <si>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</si>
  <si>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</si>
  <si>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</si>
  <si>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</si>
  <si>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</si>
  <si>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</si>
  <si>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</si>
  <si>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</si>
  <si>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</si>
  <si>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</si>
  <si>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</si>
  <si>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</si>
  <si>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</si>
  <si>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</si>
  <si>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</si>
  <si>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</si>
  <si>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</si>
  <si>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</si>
  <si>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</si>
  <si>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</si>
  <si>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</si>
  <si>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</si>
  <si>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</si>
  <si>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</si>
  <si>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</si>
  <si>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</si>
  <si>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</si>
  <si>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</si>
  <si>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</si>
  <si>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</si>
  <si>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</si>
  <si>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</si>
  <si>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</si>
  <si>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</si>
  <si>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</si>
  <si>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</si>
  <si>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</si>
  <si>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</si>
  <si>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</si>
  <si>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</si>
  <si>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</si>
  <si>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</si>
  <si>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</si>
  <si>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</si>
  <si>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</si>
  <si>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</si>
  <si>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</si>
  <si>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</si>
  <si>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</si>
  <si>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</si>
  <si>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</si>
  <si>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</si>
  <si>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</si>
  <si>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</si>
  <si>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</si>
  <si>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</si>
  <si>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</si>
  <si>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</si>
  <si>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</si>
  <si>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</si>
  <si>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</si>
  <si>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</si>
  <si>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</si>
  <si>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</si>
  <si>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</si>
  <si>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</si>
  <si>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</si>
  <si>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</si>
  <si>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</si>
  <si>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</si>
  <si>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</si>
  <si>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</si>
  <si>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</si>
  <si>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</si>
  <si>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</si>
  <si>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</si>
  <si>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</si>
  <si>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</si>
  <si>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</si>
  <si>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</si>
  <si>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</si>
  <si>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</si>
  <si>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</si>
  <si>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</si>
  <si>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</si>
  <si>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</si>
  <si>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</si>
  <si>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</si>
  <si>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</si>
  <si>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</si>
  <si>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</si>
  <si>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</si>
  <si>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</si>
  <si>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</si>
  <si>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</si>
  <si>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</si>
  <si>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</si>
  <si>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</si>
  <si>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</si>
  <si>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</si>
  <si>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</si>
  <si>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</si>
  <si>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</si>
  <si>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</si>
  <si>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</si>
  <si>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</si>
  <si>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</si>
  <si>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</si>
  <si>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</si>
  <si>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</si>
  <si>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</si>
  <si>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</si>
  <si>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</si>
  <si>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</si>
  <si>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</si>
  <si>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</si>
  <si>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</si>
  <si>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</si>
  <si>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</si>
  <si>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</si>
  <si>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</si>
  <si>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</si>
  <si>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</si>
  <si>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</si>
  <si>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</si>
  <si>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</si>
  <si>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</si>
  <si>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</si>
  <si>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</si>
  <si>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</si>
  <si>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</si>
  <si>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</si>
  <si>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</si>
  <si>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</si>
  <si>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</si>
  <si>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</si>
  <si>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</si>
  <si>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</si>
  <si>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</si>
  <si>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</si>
  <si>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</si>
  <si>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</si>
  <si>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</si>
  <si>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</si>
  <si>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</si>
  <si>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</si>
  <si>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</si>
  <si>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</si>
  <si>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</si>
  <si>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</si>
  <si>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</si>
  <si>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</si>
  <si>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</si>
  <si>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</si>
  <si>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</si>
  <si>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</si>
  <si>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</si>
  <si>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</si>
  <si>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</si>
  <si>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</si>
  <si>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</si>
  <si>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</si>
  <si>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</si>
  <si>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</si>
  <si>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</si>
  <si>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</si>
  <si>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</si>
  <si>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</si>
  <si>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</si>
  <si>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</si>
  <si>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</si>
  <si>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</si>
  <si>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</si>
  <si>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</si>
  <si>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</si>
  <si>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</si>
  <si>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</si>
  <si>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</si>
  <si>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</si>
  <si>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</si>
  <si>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</si>
  <si>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</si>
  <si>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</si>
  <si>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</si>
  <si>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</si>
  <si>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</si>
  <si>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</si>
  <si>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</si>
  <si>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</si>
  <si>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</si>
  <si>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</si>
  <si>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</si>
  <si>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</si>
  <si>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</si>
  <si>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</si>
  <si>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</si>
  <si>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</si>
  <si>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</si>
  <si>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</si>
  <si>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</si>
  <si>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</si>
  <si>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</si>
  <si>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</si>
  <si>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</si>
  <si>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</si>
  <si>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</si>
  <si>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</si>
  <si>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</si>
  <si>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</si>
  <si>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</si>
  <si>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</si>
  <si>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</si>
  <si>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</si>
  <si>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</si>
  <si>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</si>
  <si>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</si>
  <si>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</si>
  <si>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</si>
  <si>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</si>
  <si>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</si>
  <si>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</si>
  <si>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</si>
  <si>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</si>
  <si>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</si>
  <si>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</si>
  <si>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</si>
  <si>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</si>
  <si>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</si>
  <si>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</si>
  <si>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</si>
  <si>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</si>
  <si>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</si>
  <si>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</si>
  <si>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</si>
  <si>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</si>
  <si>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</si>
  <si>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</si>
  <si>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</si>
  <si>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</si>
  <si>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</si>
  <si>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</si>
  <si>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</si>
  <si>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</si>
  <si>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</si>
  <si>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</si>
  <si>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</si>
  <si>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</si>
  <si>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</si>
  <si>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</si>
  <si>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</si>
  <si>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</si>
  <si>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</si>
  <si>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</si>
  <si>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</si>
  <si>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</si>
  <si>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</si>
  <si>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</si>
  <si>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</si>
  <si>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</si>
  <si>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</si>
  <si>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</si>
  <si>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</si>
  <si>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</si>
  <si>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</si>
  <si>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</si>
  <si>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</si>
  <si>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</si>
  <si>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</si>
  <si>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</si>
  <si>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</si>
  <si>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</si>
  <si>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</si>
  <si>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</si>
  <si>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</si>
  <si>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</si>
  <si>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</si>
  <si>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</si>
  <si>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</si>
  <si>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</si>
  <si>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</si>
  <si>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</si>
  <si>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</si>
  <si>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</si>
  <si>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</si>
  <si>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</si>
  <si>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</si>
  <si>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</si>
  <si>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</si>
  <si>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</si>
  <si>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</si>
  <si>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</si>
  <si>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</si>
  <si>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</si>
  <si>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</si>
  <si>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</si>
  <si>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</si>
  <si>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</si>
  <si>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</si>
  <si>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</si>
  <si>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</si>
  <si>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</si>
  <si>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</si>
  <si>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</si>
  <si>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</si>
  <si>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</si>
  <si>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</si>
  <si>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</si>
  <si>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</si>
  <si>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</si>
  <si>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</si>
  <si>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</si>
  <si>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</si>
  <si>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</si>
  <si>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</si>
  <si>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</si>
  <si>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</si>
  <si>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</si>
  <si>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</si>
  <si>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</si>
  <si>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</si>
  <si>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</si>
  <si>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</si>
  <si>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</si>
  <si>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</si>
  <si>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</si>
  <si>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</si>
  <si>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</si>
  <si>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</si>
  <si>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</si>
  <si>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</si>
  <si>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</si>
  <si>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</si>
  <si>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</si>
  <si>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</si>
  <si>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</si>
  <si>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</si>
  <si>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</si>
  <si>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</si>
  <si>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</si>
  <si>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</si>
  <si>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</si>
  <si>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</si>
  <si>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</si>
  <si>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</si>
  <si>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</si>
  <si>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</si>
  <si>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</si>
  <si>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</si>
  <si>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</si>
  <si>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</si>
  <si>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</si>
  <si>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</si>
  <si>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</si>
  <si>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</si>
  <si>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</si>
  <si>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</si>
  <si>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</si>
  <si>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</si>
  <si>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</si>
  <si>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</si>
  <si>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</si>
  <si>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</si>
  <si>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</si>
  <si>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</si>
  <si>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</si>
  <si>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</si>
  <si>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</si>
  <si>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</si>
  <si>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</si>
  <si>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</si>
  <si>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</si>
  <si>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</si>
  <si>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</si>
  <si>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</si>
  <si>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</si>
  <si>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</si>
  <si>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</si>
  <si>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</si>
  <si>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</si>
  <si>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</si>
  <si>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</si>
  <si>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</si>
  <si>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</si>
  <si>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</si>
  <si>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</si>
  <si>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</si>
  <si>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</si>
  <si>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</si>
  <si>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</si>
  <si>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</si>
  <si>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</si>
  <si>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</si>
  <si>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</si>
  <si>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</si>
  <si>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</si>
  <si>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</si>
  <si>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</si>
  <si>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</si>
  <si>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</si>
  <si>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</si>
  <si>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</si>
  <si>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</si>
  <si>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</si>
  <si>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</si>
  <si>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</si>
  <si>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</si>
  <si>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</si>
  <si>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</si>
  <si>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</si>
  <si>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</si>
  <si>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</si>
  <si>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</si>
  <si>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</si>
  <si>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</si>
  <si>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</si>
  <si>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</si>
  <si>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</si>
  <si>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</si>
  <si>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</si>
  <si>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</si>
  <si>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</si>
  <si>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</si>
  <si>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</si>
  <si>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</si>
  <si>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</si>
  <si>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</si>
  <si>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</si>
  <si>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</si>
  <si>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</si>
  <si>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</si>
  <si>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</si>
  <si>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</si>
  <si>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</si>
  <si>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</si>
  <si>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</si>
  <si>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</si>
  <si>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</si>
  <si>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</si>
  <si>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</si>
  <si>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</si>
  <si>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</si>
  <si>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</si>
  <si>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</si>
  <si>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</si>
  <si>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</si>
  <si>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</si>
  <si>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</si>
  <si>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</si>
  <si>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</si>
  <si>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</si>
  <si>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</si>
  <si>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</si>
  <si>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</si>
  <si>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</si>
  <si>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</si>
  <si>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</si>
  <si>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</si>
  <si>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</si>
  <si>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</si>
  <si>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</si>
  <si>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</si>
  <si>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</si>
  <si>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</si>
  <si>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</si>
  <si>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</si>
  <si>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</si>
  <si>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</si>
  <si>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</si>
  <si>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</si>
  <si>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</si>
  <si>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</si>
  <si>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</si>
  <si>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</si>
  <si>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</si>
  <si>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</si>
  <si>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</si>
  <si>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</si>
  <si>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</si>
  <si>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</si>
  <si>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</si>
  <si>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</si>
  <si>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</si>
  <si>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</si>
  <si>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</si>
  <si>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</si>
  <si>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</si>
  <si>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</si>
  <si>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</si>
  <si>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</si>
  <si>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</si>
  <si>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</si>
  <si>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</si>
  <si>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</si>
  <si>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</si>
  <si>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</si>
  <si>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</si>
  <si>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</si>
  <si>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</si>
  <si>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</si>
  <si>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</si>
  <si>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</si>
  <si>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</si>
  <si>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</si>
  <si>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</si>
  <si>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</si>
  <si>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</si>
  <si>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</si>
  <si>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</si>
  <si>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</si>
  <si>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</si>
  <si>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</si>
  <si>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</si>
  <si>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</si>
  <si>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</si>
  <si>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</si>
  <si>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</si>
  <si>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</si>
  <si>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</si>
  <si>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</si>
  <si>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</si>
  <si>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</si>
  <si>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</si>
  <si>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</si>
  <si>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</si>
  <si>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</si>
  <si>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</si>
  <si>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</si>
  <si>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</si>
  <si>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</si>
  <si>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</si>
  <si>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</si>
  <si>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</si>
  <si>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</si>
  <si>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</si>
  <si>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</si>
  <si>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</si>
  <si>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</si>
  <si>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</si>
  <si>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</si>
  <si>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</si>
  <si>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</si>
  <si>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</si>
  <si>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</si>
  <si>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</si>
  <si>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</si>
  <si>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</si>
  <si>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</si>
  <si>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</si>
  <si>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</si>
  <si>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</si>
  <si>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</si>
  <si>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</si>
  <si>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</si>
  <si>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</si>
  <si>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</si>
  <si>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</si>
  <si>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</si>
  <si>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</si>
  <si>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</si>
  <si>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</si>
  <si>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</si>
  <si>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</si>
  <si>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</si>
  <si>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</si>
  <si>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</si>
  <si>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</si>
  <si>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</si>
  <si>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</si>
  <si>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</si>
  <si>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</si>
  <si>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</si>
  <si>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</si>
  <si>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</si>
  <si>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</si>
  <si>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</si>
  <si>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</si>
  <si>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</si>
  <si>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</si>
  <si>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</si>
  <si>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</si>
  <si>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</si>
  <si>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</si>
  <si>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</si>
  <si>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</si>
  <si>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</si>
  <si>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</si>
  <si>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</si>
  <si>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</si>
  <si>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</si>
  <si>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</si>
  <si>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</si>
  <si>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</si>
  <si>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</si>
  <si>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</si>
  <si>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</si>
  <si>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</si>
  <si>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</si>
  <si>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</si>
  <si>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</si>
  <si>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</si>
  <si>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</si>
  <si>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</si>
  <si>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</si>
  <si>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</si>
  <si>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</si>
  <si>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</si>
  <si>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</si>
  <si>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</si>
  <si>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</si>
  <si>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</si>
  <si>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</si>
  <si>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</si>
  <si>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</si>
  <si>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</si>
  <si>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</si>
  <si>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</si>
  <si>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</si>
  <si>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</si>
  <si>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</si>
  <si>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</si>
  <si>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</si>
  <si>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</si>
  <si>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</si>
  <si>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</si>
  <si>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</si>
  <si>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</si>
  <si>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</si>
  <si>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</si>
  <si>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</si>
  <si>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</si>
  <si>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</si>
  <si>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</si>
  <si>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</si>
  <si>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</si>
  <si>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</si>
  <si>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</si>
  <si>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</si>
  <si>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</si>
  <si>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</si>
  <si>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</si>
  <si>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</si>
  <si>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</si>
  <si>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</si>
  <si>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</si>
  <si>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</si>
  <si>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</si>
  <si>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</si>
  <si>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</si>
  <si>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</si>
  <si>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</si>
  <si>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</si>
  <si>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</si>
  <si>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</si>
  <si>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</si>
  <si>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</si>
  <si>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</si>
  <si>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</si>
  <si>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</si>
  <si>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</si>
  <si>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</si>
  <si>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</si>
  <si>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</si>
  <si>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</si>
  <si>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</si>
  <si>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</si>
  <si>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</si>
  <si>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</si>
  <si>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</si>
  <si>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</si>
  <si>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</si>
  <si>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</si>
  <si>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</si>
  <si>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</si>
  <si>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</si>
  <si>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</si>
  <si>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</si>
  <si>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</si>
  <si>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</si>
  <si>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</si>
  <si>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</si>
  <si>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</si>
  <si>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</si>
  <si>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</si>
  <si>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</si>
  <si>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</si>
  <si>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</si>
  <si>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</si>
  <si>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</si>
  <si>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</si>
  <si>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</si>
  <si>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</si>
  <si>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</si>
  <si>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</si>
  <si>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</si>
  <si>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</si>
  <si>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</si>
  <si>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</si>
  <si>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</si>
  <si>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</si>
  <si>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</si>
  <si>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</si>
  <si>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</si>
  <si>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</si>
  <si>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</si>
  <si>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</si>
  <si>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</si>
  <si>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</si>
  <si>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</si>
  <si>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</si>
  <si>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</si>
  <si>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</si>
  <si>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</si>
  <si>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</si>
  <si>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</si>
  <si>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</si>
  <si>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</si>
  <si>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</si>
  <si>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</si>
  <si>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</si>
  <si>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</si>
  <si>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</si>
  <si>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</si>
  <si>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</si>
  <si>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</si>
  <si>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</si>
  <si>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</si>
  <si>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</si>
  <si>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</si>
  <si>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</si>
  <si>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</si>
  <si>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</si>
  <si>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</si>
  <si>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</si>
  <si>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</si>
  <si>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</si>
  <si>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</si>
  <si>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</si>
  <si>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</si>
  <si>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</si>
  <si>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</si>
  <si>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</si>
  <si>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</si>
  <si>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</si>
  <si>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</si>
  <si>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</si>
  <si>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</si>
  <si>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</si>
  <si>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</si>
  <si>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</si>
  <si>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</si>
  <si>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</si>
  <si>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</si>
  <si>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</si>
  <si>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</si>
  <si>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</si>
  <si>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</si>
  <si>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</si>
  <si>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</si>
  <si>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</si>
  <si>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</si>
  <si>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</si>
  <si>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</si>
  <si>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</si>
  <si>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</si>
  <si>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</si>
  <si>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</si>
  <si>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</si>
  <si>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</si>
  <si>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</si>
  <si>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</si>
  <si>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</si>
  <si>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</si>
  <si>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</si>
  <si>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</si>
  <si>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</si>
  <si>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</si>
  <si>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</si>
  <si>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</si>
  <si>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</si>
  <si>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</si>
  <si>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</si>
  <si>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</si>
  <si>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</si>
  <si>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</si>
  <si>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</si>
  <si>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</si>
  <si>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</si>
  <si>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</si>
  <si>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</si>
  <si>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</si>
  <si>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</si>
  <si>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</si>
  <si>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</si>
  <si>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</si>
  <si>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</si>
  <si>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</si>
  <si>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</si>
  <si>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</si>
  <si>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</si>
  <si>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</si>
  <si>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</si>
  <si>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</si>
  <si>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</si>
  <si>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</si>
  <si>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</si>
  <si>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</si>
  <si>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</si>
  <si>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</si>
  <si>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</si>
  <si>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</si>
  <si>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</si>
  <si>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</si>
  <si>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</si>
  <si>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</si>
  <si>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</si>
  <si>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</si>
  <si>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</si>
  <si>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</si>
  <si>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</si>
  <si>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</si>
  <si>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</si>
  <si>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</si>
  <si>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</si>
  <si>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</si>
  <si>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</si>
  <si>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</si>
  <si>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</si>
  <si>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</si>
  <si>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</si>
  <si>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</si>
  <si>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</si>
  <si>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</si>
  <si>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</si>
  <si>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</si>
  <si>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</si>
  <si>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</si>
  <si>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</si>
  <si>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</si>
  <si>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</si>
  <si>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</si>
  <si>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</si>
  <si>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</si>
  <si>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</si>
  <si>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</si>
  <si>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</si>
  <si>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</si>
  <si>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</si>
  <si>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</si>
  <si>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</si>
  <si>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</si>
  <si>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</si>
  <si>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</si>
  <si>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</si>
  <si>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</si>
  <si>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</si>
  <si>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</si>
  <si>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</si>
  <si>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</si>
  <si>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</si>
  <si>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</si>
  <si>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</si>
  <si>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</si>
  <si>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</si>
  <si>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</si>
  <si>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</si>
  <si>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</si>
  <si>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</si>
  <si>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</si>
  <si>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</si>
  <si>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</si>
  <si>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</si>
  <si>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</si>
  <si>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</si>
  <si>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</si>
  <si>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</si>
  <si>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</si>
  <si>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</si>
  <si>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</si>
  <si>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</si>
  <si>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</si>
  <si>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</si>
  <si>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</si>
  <si>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</si>
  <si>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</si>
  <si>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</si>
  <si>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</si>
  <si>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</si>
  <si>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</si>
  <si>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</si>
  <si>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</si>
  <si>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</si>
  <si>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</si>
  <si>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</si>
  <si>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</si>
  <si>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</si>
  <si>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</si>
  <si>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</si>
  <si>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</si>
  <si>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</si>
  <si>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</si>
  <si>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</si>
  <si>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</si>
  <si>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</si>
  <si>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</si>
  <si>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</si>
  <si>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</si>
  <si>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</si>
  <si>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</si>
  <si>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</si>
  <si>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</si>
  <si>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</si>
  <si>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</si>
  <si>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</si>
  <si>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</si>
  <si>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</si>
  <si>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</si>
  <si>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</si>
  <si>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</si>
  <si>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</si>
  <si>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</si>
  <si>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</si>
  <si>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</si>
  <si>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</si>
  <si>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</si>
  <si>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</si>
  <si>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</si>
  <si>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</si>
  <si>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</si>
  <si>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</si>
  <si>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</si>
  <si>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</si>
  <si>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</si>
  <si>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</si>
  <si>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</si>
  <si>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</si>
  <si>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</si>
  <si>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</si>
  <si>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</si>
  <si>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</si>
  <si>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</si>
  <si>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</si>
  <si>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</si>
  <si>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</si>
  <si>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</si>
  <si>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</si>
  <si>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</si>
  <si>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</si>
  <si>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</si>
  <si>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</si>
  <si>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</si>
  <si>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</si>
  <si>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</si>
  <si>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</si>
  <si>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</si>
  <si>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</si>
  <si>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</si>
  <si>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</si>
  <si>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</si>
  <si>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</si>
  <si>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</si>
  <si>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</si>
  <si>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</si>
  <si>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</si>
  <si>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</si>
  <si>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</si>
  <si>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</si>
  <si>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</si>
  <si>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</si>
  <si>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</si>
  <si>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</si>
  <si>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</si>
  <si>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</si>
  <si>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</si>
  <si>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</si>
  <si>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</si>
  <si>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</si>
  <si>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</si>
  <si>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</si>
  <si>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</si>
  <si>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</si>
  <si>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</si>
  <si>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</si>
  <si>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</si>
  <si>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</si>
  <si>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</si>
  <si>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</si>
  <si>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</si>
  <si>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</si>
  <si>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</si>
  <si>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</si>
  <si>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</si>
  <si>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</si>
  <si>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</si>
  <si>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</si>
  <si>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</si>
  <si>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</si>
  <si>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</si>
  <si>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</si>
  <si>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</si>
  <si>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</si>
  <si>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</si>
  <si>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</si>
  <si>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</si>
  <si>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</si>
  <si>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</si>
  <si>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</si>
  <si>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</si>
  <si>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</si>
  <si>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</si>
  <si>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</si>
  <si>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</si>
  <si>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</si>
  <si>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</si>
  <si>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</si>
  <si>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</si>
  <si>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</si>
  <si>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</si>
  <si>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</si>
  <si>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</si>
  <si>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</si>
  <si>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</si>
  <si>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</si>
  <si>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</si>
  <si>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</si>
  <si>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</si>
  <si>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</si>
  <si>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</si>
  <si>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</si>
  <si>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</si>
  <si>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</si>
  <si>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</si>
  <si>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</si>
  <si>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</si>
  <si>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</si>
  <si>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</si>
  <si>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</si>
  <si>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</si>
  <si>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</si>
  <si>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</si>
  <si>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</si>
  <si>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</si>
  <si>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</si>
  <si>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</si>
  <si>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</si>
  <si>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</si>
  <si>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</si>
  <si>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</si>
  <si>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</si>
  <si>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</si>
  <si>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</si>
  <si>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</si>
  <si>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</si>
  <si>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</si>
  <si>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</si>
  <si>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</si>
  <si>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</si>
  <si>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</si>
  <si>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</si>
  <si>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</si>
  <si>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</si>
  <si>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</si>
  <si>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</si>
  <si>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</si>
  <si>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</si>
  <si>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</si>
  <si>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</si>
  <si>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</si>
  <si>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</si>
  <si>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</si>
  <si>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</si>
  <si>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</si>
  <si>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</si>
  <si>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</si>
  <si>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</si>
  <si>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</si>
  <si>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</si>
  <si>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</si>
  <si>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</si>
  <si>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</si>
  <si>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</si>
  <si>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</si>
  <si>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</si>
  <si>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</si>
  <si>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</si>
  <si>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</si>
  <si>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</si>
  <si>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</si>
  <si>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</si>
  <si>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</si>
  <si>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</si>
  <si>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</si>
  <si>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</si>
  <si>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</si>
  <si>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</si>
  <si>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</si>
  <si>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</si>
  <si>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</si>
  <si>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</si>
  <si>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</si>
  <si>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</si>
  <si>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</si>
  <si>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</si>
  <si>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</si>
  <si>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</si>
  <si>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</si>
  <si>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</si>
  <si>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</si>
  <si>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</si>
  <si>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</si>
  <si>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</si>
  <si>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</si>
  <si>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</si>
  <si>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</si>
  <si>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</si>
  <si>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</si>
  <si>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</si>
  <si>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</si>
  <si>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</si>
  <si>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</si>
  <si>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</si>
  <si>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</si>
  <si>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</si>
  <si>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</si>
  <si>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</si>
  <si>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</si>
  <si>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</si>
  <si>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</si>
  <si>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</si>
  <si>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</si>
  <si>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</si>
  <si>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</si>
  <si>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</si>
  <si>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</si>
  <si>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</si>
  <si>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</si>
  <si>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</si>
  <si>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</si>
  <si>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</si>
  <si>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</si>
  <si>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</si>
  <si>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</si>
  <si>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</si>
  <si>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</si>
  <si>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</si>
  <si>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</si>
  <si>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</si>
  <si>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</si>
  <si>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</si>
  <si>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</si>
  <si>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</si>
  <si>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</si>
  <si>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</si>
  <si>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</si>
  <si>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</si>
  <si>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</si>
  <si>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</si>
  <si>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</si>
  <si>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</si>
  <si>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</si>
  <si>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</si>
  <si>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</si>
  <si>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</si>
  <si>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</si>
  <si>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</si>
  <si>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</si>
  <si>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</si>
  <si>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</si>
  <si>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</si>
  <si>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</si>
  <si>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</si>
  <si>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</si>
  <si>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</si>
  <si>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</si>
  <si>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</si>
  <si>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</si>
  <si>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</si>
  <si>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</si>
  <si>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</si>
  <si>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</si>
  <si>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</si>
  <si>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</si>
  <si>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</si>
  <si>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</si>
  <si>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</si>
  <si>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</si>
  <si>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</si>
  <si>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</si>
  <si>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</si>
  <si>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</si>
  <si>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</si>
  <si>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</si>
  <si>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</si>
  <si>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</si>
  <si>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</si>
  <si>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</si>
  <si>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</si>
  <si>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</si>
  <si>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</si>
  <si>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</si>
  <si>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</si>
  <si>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</si>
  <si>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</si>
  <si>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</si>
  <si>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</si>
  <si>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</si>
  <si>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</si>
  <si>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</si>
  <si>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</si>
  <si>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</si>
  <si>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</si>
  <si>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</si>
  <si>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</si>
  <si>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</si>
  <si>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</si>
  <si>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</si>
  <si>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</si>
  <si>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</si>
  <si>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</si>
  <si>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</si>
  <si>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</si>
  <si>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</si>
  <si>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</si>
  <si>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</si>
  <si>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</si>
  <si>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</si>
  <si>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</si>
  <si>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</si>
  <si>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</si>
  <si>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</si>
  <si>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</si>
  <si>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</si>
  <si>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</si>
  <si>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</si>
  <si>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</si>
  <si>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</si>
  <si>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</si>
  <si>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</si>
  <si>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</si>
  <si>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</si>
  <si>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</si>
  <si>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</si>
  <si>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</si>
  <si>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</si>
  <si>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</si>
  <si>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</si>
  <si>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</si>
  <si>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</si>
  <si>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</si>
  <si>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</si>
  <si>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</si>
  <si>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</si>
  <si>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</si>
  <si>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</si>
  <si>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</si>
  <si>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</si>
  <si>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</si>
  <si>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</si>
  <si>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</si>
  <si>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</si>
  <si>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</si>
  <si>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</si>
  <si>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</si>
  <si>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</si>
  <si>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</si>
  <si>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</si>
  <si>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</si>
  <si>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</si>
  <si>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</si>
  <si>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</si>
  <si>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</si>
  <si>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</si>
  <si>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</si>
  <si>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</si>
  <si>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</si>
  <si>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</si>
  <si>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</si>
  <si>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</si>
  <si>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</si>
  <si>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</si>
  <si>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</si>
  <si>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</si>
  <si>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</si>
  <si>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</si>
  <si>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</si>
  <si>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</si>
  <si>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</si>
  <si>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</si>
  <si>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</si>
  <si>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</si>
  <si>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</si>
  <si>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</si>
  <si>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</si>
  <si>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</si>
  <si>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</si>
  <si>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</si>
  <si>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</si>
  <si>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</si>
  <si>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</si>
  <si>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</si>
  <si>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</si>
  <si>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</si>
  <si>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</si>
  <si>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</si>
  <si>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</si>
  <si>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</si>
  <si>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</si>
  <si>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</si>
  <si>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</si>
  <si>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</si>
  <si>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</si>
  <si>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</si>
  <si>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</si>
  <si>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</si>
  <si>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</si>
  <si>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</si>
  <si>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</si>
  <si>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</si>
  <si>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</si>
  <si>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</si>
  <si>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</si>
  <si>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</si>
  <si>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</si>
  <si>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</si>
  <si>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</si>
  <si>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</si>
  <si>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</si>
  <si>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</si>
  <si>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</si>
  <si>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</si>
  <si>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</si>
  <si>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</si>
  <si>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</si>
  <si>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</si>
  <si>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</si>
  <si>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</si>
  <si>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</si>
  <si>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</si>
  <si>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</si>
  <si>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</si>
  <si>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</si>
  <si>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</si>
  <si>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</si>
  <si>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</si>
  <si>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</si>
  <si>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</si>
  <si>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</si>
  <si>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</si>
  <si>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</si>
  <si>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</si>
  <si>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</si>
  <si>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</si>
  <si>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</si>
  <si>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</si>
  <si>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</si>
  <si>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</si>
  <si>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</si>
  <si>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</si>
  <si>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</si>
  <si>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</si>
  <si>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</si>
  <si>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</si>
  <si>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</si>
  <si>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</si>
  <si>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</si>
  <si>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</si>
  <si>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</si>
  <si>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</si>
  <si>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</si>
  <si>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</si>
  <si>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</si>
  <si>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</si>
  <si>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</si>
  <si>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</si>
  <si>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</si>
  <si>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</si>
  <si>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</si>
  <si>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</si>
  <si>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</si>
  <si>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</si>
  <si>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</si>
  <si>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</si>
  <si>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</si>
  <si>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</si>
  <si>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</si>
  <si>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</si>
  <si>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</si>
  <si>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</si>
  <si>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</si>
  <si>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</si>
  <si>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</si>
  <si>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</si>
  <si>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</si>
  <si>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</si>
  <si>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</si>
  <si>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</si>
  <si>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</si>
  <si>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</si>
  <si>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</si>
  <si>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</si>
  <si>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</si>
  <si>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</si>
  <si>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</si>
  <si>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</si>
  <si>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</si>
  <si>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</si>
  <si>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</si>
  <si>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</si>
  <si>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</si>
  <si>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</si>
  <si>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</si>
  <si>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</si>
  <si>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</si>
  <si>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</si>
  <si>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</si>
  <si>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</si>
  <si>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</si>
  <si>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</si>
  <si>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</si>
  <si>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</si>
  <si>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</si>
  <si>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</si>
  <si>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</si>
  <si>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</si>
  <si>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</si>
  <si>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</si>
  <si>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</si>
  <si>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</si>
  <si>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</si>
  <si>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</si>
  <si>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</si>
  <si>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</si>
  <si>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</si>
  <si>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</si>
  <si>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</si>
  <si>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</si>
  <si>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</si>
  <si>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</si>
  <si>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</si>
  <si>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</si>
  <si>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</si>
  <si>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</si>
  <si>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</si>
  <si>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</si>
  <si>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</si>
  <si>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</si>
  <si>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</si>
  <si>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</si>
  <si>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</si>
  <si>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</si>
  <si>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</si>
  <si>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</si>
  <si>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</si>
  <si>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</si>
  <si>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</si>
  <si>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</si>
  <si>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</si>
  <si>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</si>
  <si>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</si>
  <si>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</si>
  <si>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</si>
  <si>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</si>
  <si>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</si>
  <si>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</si>
  <si>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</si>
  <si>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</si>
  <si>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</si>
  <si>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</si>
  <si>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</si>
  <si>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</si>
  <si>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</si>
  <si>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</si>
  <si>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</si>
  <si>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</si>
  <si>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</si>
  <si>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</si>
  <si>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</si>
  <si>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</si>
  <si>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</si>
  <si>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</si>
  <si>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</si>
  <si>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</si>
  <si>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</si>
  <si>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</si>
  <si>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</si>
  <si>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</si>
  <si>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</si>
  <si>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</si>
  <si>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</si>
  <si>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</si>
  <si>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</si>
  <si>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</si>
  <si>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</si>
  <si>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</si>
  <si>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</si>
  <si>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</si>
  <si>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</si>
  <si>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</si>
  <si>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</si>
  <si>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</si>
  <si>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</si>
  <si>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</si>
  <si>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</si>
  <si>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</si>
  <si>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</si>
  <si>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</si>
  <si>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</si>
  <si>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</si>
  <si>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</si>
  <si>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</si>
  <si>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</si>
  <si>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</si>
  <si>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</si>
  <si>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</si>
  <si>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</si>
  <si>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</si>
  <si>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</si>
  <si>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</si>
  <si>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</si>
  <si>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</si>
  <si>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</si>
  <si>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</si>
  <si>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</si>
  <si>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</si>
  <si>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</si>
  <si>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</si>
  <si>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</si>
  <si>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</si>
  <si>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</si>
  <si>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</si>
  <si>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</si>
  <si>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</si>
  <si>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</si>
  <si>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</si>
  <si>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</si>
  <si>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</si>
  <si>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</si>
  <si>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</si>
  <si>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</si>
  <si>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</si>
  <si>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</si>
  <si>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</si>
  <si>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</si>
  <si>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</si>
  <si>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</si>
  <si>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</si>
  <si>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</si>
  <si>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</si>
  <si>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</si>
  <si>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</si>
  <si>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</si>
  <si>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</si>
  <si>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</si>
  <si>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</si>
  <si>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</si>
  <si>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</si>
  <si>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</si>
  <si>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</si>
  <si>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</si>
  <si>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</si>
  <si>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</si>
  <si>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</si>
  <si>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</si>
  <si>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</si>
  <si>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</si>
  <si>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</si>
  <si>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</si>
  <si>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</si>
  <si>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</si>
  <si>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</si>
  <si>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</si>
  <si>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</si>
  <si>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</si>
  <si>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</si>
  <si>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</si>
  <si>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</si>
  <si>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</si>
  <si>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</si>
  <si>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</si>
  <si>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</si>
  <si>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</si>
  <si>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</si>
  <si>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</si>
  <si>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</si>
  <si>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</si>
  <si>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</si>
  <si>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</si>
  <si>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</si>
  <si>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</si>
  <si>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</si>
  <si>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</si>
  <si>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</si>
  <si>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</si>
  <si>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</si>
  <si>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</si>
  <si>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</si>
  <si>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</si>
  <si>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</si>
  <si>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</si>
  <si>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</si>
  <si>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</si>
  <si>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</si>
  <si>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</si>
  <si>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</si>
  <si>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</si>
  <si>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</si>
  <si>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</si>
  <si>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</si>
  <si>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</si>
  <si>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</si>
  <si>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</si>
  <si>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</si>
  <si>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</si>
  <si>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</si>
  <si>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</si>
  <si>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</si>
  <si>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</si>
  <si>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</si>
  <si>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</si>
  <si>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</si>
  <si>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</si>
  <si>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</si>
  <si>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</si>
  <si>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</si>
  <si>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</si>
  <si>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</si>
  <si>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</si>
  <si>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</si>
  <si>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</si>
  <si>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</si>
  <si>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</si>
  <si>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</si>
  <si>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</si>
  <si>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</si>
  <si>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</si>
  <si>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</si>
  <si>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</si>
  <si>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</si>
  <si>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</si>
  <si>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</si>
  <si>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</si>
  <si>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</si>
  <si>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</si>
  <si>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</si>
  <si>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</si>
  <si>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</si>
  <si>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</si>
  <si>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</si>
  <si>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</si>
  <si>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</si>
  <si>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</si>
  <si>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</si>
  <si>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</si>
  <si>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</si>
  <si>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</si>
  <si>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</si>
  <si>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</si>
  <si>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</si>
  <si>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</si>
  <si>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</si>
  <si>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</si>
  <si>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</si>
  <si>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</si>
  <si>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</si>
  <si>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</si>
  <si>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</si>
  <si>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</si>
  <si>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</si>
  <si>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</si>
  <si>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</si>
  <si>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</si>
  <si>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</si>
  <si>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</si>
  <si>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</si>
  <si>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</si>
  <si>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</si>
  <si>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</si>
  <si>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</si>
  <si>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</si>
  <si>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</si>
  <si>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</si>
  <si>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</si>
  <si>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</si>
  <si>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</si>
  <si>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</si>
  <si>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</si>
  <si>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</si>
  <si>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</si>
  <si>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</si>
  <si>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</si>
  <si>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</si>
  <si>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</si>
  <si>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</si>
  <si>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</si>
  <si>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</si>
  <si>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</si>
  <si>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</si>
  <si>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</si>
  <si>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</si>
  <si>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</si>
  <si>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</si>
  <si>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</si>
  <si>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</si>
  <si>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</si>
  <si>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</si>
  <si>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</si>
  <si>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</si>
  <si>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</si>
  <si>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</si>
  <si>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</si>
  <si>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</si>
  <si>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</si>
  <si>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</si>
  <si>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</si>
  <si>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</si>
  <si>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</si>
  <si>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</si>
  <si>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</si>
  <si>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</si>
  <si>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</si>
  <si>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</si>
  <si>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</si>
  <si>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</si>
  <si>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</si>
  <si>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</si>
  <si>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</si>
  <si>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</si>
  <si>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</si>
  <si>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</si>
  <si>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</si>
  <si>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</si>
  <si>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</si>
  <si>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</si>
  <si>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</si>
  <si>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</si>
  <si>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</si>
  <si>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</si>
  <si>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</si>
  <si>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</si>
  <si>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</si>
  <si>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</si>
  <si>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</si>
  <si>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</si>
  <si>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</si>
  <si>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</si>
  <si>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</si>
  <si>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</si>
  <si>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</si>
  <si>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</si>
  <si>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</si>
  <si>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</si>
  <si>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</si>
  <si>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</si>
  <si>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</si>
  <si>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</si>
  <si>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</si>
  <si>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</si>
  <si>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</si>
  <si>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</si>
  <si>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</si>
  <si>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</si>
  <si>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</si>
  <si>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</si>
  <si>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</si>
  <si>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</si>
  <si>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</si>
  <si>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</si>
  <si>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</si>
  <si>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</si>
  <si>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</si>
  <si>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</si>
  <si>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</si>
  <si>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</si>
  <si>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</si>
  <si>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</si>
  <si>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</si>
  <si>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</si>
  <si>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</si>
  <si>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</si>
  <si>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</si>
  <si>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</si>
  <si>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</si>
  <si>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</si>
  <si>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</si>
  <si>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</si>
  <si>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</si>
  <si>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</si>
  <si>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</si>
  <si>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</si>
  <si>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</si>
  <si>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</si>
  <si>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</si>
  <si>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</si>
  <si>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</si>
  <si>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</si>
  <si>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</si>
  <si>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</si>
  <si>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</si>
  <si>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</si>
  <si>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</si>
  <si>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</si>
  <si>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</si>
  <si>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</si>
  <si>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</si>
  <si>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</si>
  <si>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</si>
  <si>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</si>
  <si>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</si>
  <si>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</si>
  <si>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</si>
  <si>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</si>
  <si>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</si>
  <si>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</si>
  <si>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</si>
  <si>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</si>
  <si>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</si>
  <si>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</si>
  <si>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</si>
  <si>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</si>
  <si>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</si>
  <si>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</si>
  <si>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</si>
  <si>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</si>
  <si>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</si>
  <si>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</si>
  <si>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</si>
  <si>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</si>
  <si>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</si>
  <si>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</si>
  <si>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</si>
  <si>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</si>
  <si>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</si>
  <si>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</si>
  <si>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</si>
  <si>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</si>
  <si>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</si>
  <si>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</si>
  <si>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</si>
  <si>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</si>
  <si>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</si>
  <si>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</si>
  <si>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</si>
  <si>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</si>
  <si>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</si>
  <si>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</si>
  <si>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</si>
  <si>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</si>
  <si>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</si>
  <si>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</si>
  <si>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</si>
  <si>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</si>
  <si>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</si>
  <si>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</si>
  <si>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</si>
  <si>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</si>
  <si>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</si>
  <si>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</si>
  <si>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</si>
  <si>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</si>
  <si>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</si>
  <si>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</si>
  <si>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</si>
  <si>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</si>
  <si>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</si>
  <si>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</si>
  <si>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</si>
  <si>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</si>
  <si>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</si>
  <si>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</si>
  <si>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</si>
  <si>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</si>
  <si>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</si>
  <si>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</si>
  <si>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</si>
  <si>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</si>
  <si>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</si>
  <si>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</si>
  <si>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</si>
  <si>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</si>
  <si>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</si>
  <si>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</si>
  <si>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</si>
  <si>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</si>
  <si>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</si>
  <si>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</si>
  <si>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</si>
  <si>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</si>
  <si>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</si>
  <si>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</si>
  <si>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</si>
  <si>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</si>
  <si>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</si>
  <si>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</si>
  <si>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</si>
  <si>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</si>
  <si>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</si>
  <si>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</si>
  <si>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</si>
  <si>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</si>
  <si>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</si>
  <si>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</si>
  <si>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</si>
  <si>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</si>
  <si>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</si>
  <si>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</si>
  <si>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</si>
  <si>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</si>
  <si>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</si>
  <si>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</si>
  <si>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</si>
  <si>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</si>
  <si>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</si>
  <si>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</si>
  <si>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</si>
  <si>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</si>
  <si>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</si>
  <si>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</si>
  <si>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</si>
  <si>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</si>
  <si>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</si>
  <si>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</si>
  <si>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</si>
  <si>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</si>
  <si>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</si>
  <si>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</si>
  <si>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</si>
  <si>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</si>
  <si>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</si>
  <si>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</si>
  <si>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</si>
  <si>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</si>
  <si>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</si>
  <si>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</si>
  <si>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</si>
  <si>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</si>
  <si>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</si>
  <si>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</si>
  <si>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</si>
  <si>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</si>
  <si>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</si>
  <si>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</si>
  <si>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</si>
  <si>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</si>
  <si>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</si>
  <si>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</si>
  <si>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</si>
  <si>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</si>
  <si>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</si>
  <si>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</si>
  <si>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</si>
  <si>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</si>
  <si>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</si>
  <si>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</si>
  <si>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</si>
  <si>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</si>
  <si>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</si>
  <si>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</si>
  <si>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</si>
  <si>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</si>
  <si>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</si>
  <si>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</si>
  <si>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</si>
  <si>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</si>
  <si>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</si>
  <si>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</si>
  <si>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</si>
  <si>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</si>
  <si>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</si>
  <si>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</si>
  <si>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</si>
  <si>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</si>
  <si>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</si>
  <si>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</si>
  <si>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</si>
  <si>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</si>
  <si>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</si>
  <si>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</si>
  <si>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</si>
  <si>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</si>
  <si>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</si>
  <si>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</si>
  <si>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</si>
  <si>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</si>
  <si>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</si>
  <si>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</si>
  <si>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</si>
  <si>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</si>
  <si>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</si>
  <si>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</si>
  <si>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</si>
  <si>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</si>
  <si>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</si>
  <si>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</si>
  <si>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</si>
  <si>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</si>
  <si>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</si>
  <si>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</si>
  <si>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</si>
  <si>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</si>
  <si>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</si>
  <si>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</si>
  <si>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</si>
  <si>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</si>
  <si>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</si>
  <si>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</si>
  <si>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</si>
  <si>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</si>
  <si>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</si>
  <si>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</si>
  <si>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</si>
  <si>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</si>
  <si>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</si>
  <si>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</si>
  <si>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</si>
  <si>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</si>
  <si>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</si>
  <si>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</si>
  <si>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</si>
  <si>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</si>
  <si>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</si>
  <si>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</si>
  <si>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</si>
  <si>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</si>
  <si>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</si>
  <si>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</si>
  <si>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</si>
  <si>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</si>
  <si>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</si>
  <si>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</si>
  <si>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</si>
  <si>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</si>
  <si>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</si>
  <si>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</si>
  <si>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</si>
  <si>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</si>
  <si>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</si>
  <si>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</si>
  <si>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</si>
  <si>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</si>
  <si>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</si>
  <si>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</si>
  <si>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</si>
  <si>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</si>
  <si>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</si>
  <si>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</si>
  <si>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</si>
  <si>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</si>
  <si>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</si>
  <si>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</si>
  <si>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</si>
  <si>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</si>
  <si>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</si>
  <si>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</si>
  <si>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</si>
  <si>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</si>
  <si>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</si>
  <si>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</si>
  <si>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</si>
  <si>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</si>
  <si>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</si>
  <si>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</si>
  <si>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</si>
  <si>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</si>
  <si>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</si>
  <si>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</si>
  <si>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</si>
  <si>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</si>
  <si>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</si>
  <si>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</si>
  <si>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</si>
  <si>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</si>
  <si>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</si>
  <si>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</si>
  <si>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</si>
  <si>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</si>
  <si>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</si>
  <si>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</si>
  <si>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</si>
  <si>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</si>
  <si>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</si>
  <si>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</si>
  <si>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</si>
  <si>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</si>
  <si>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</si>
  <si>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</si>
  <si>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</si>
  <si>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</si>
  <si>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</si>
  <si>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</si>
  <si>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</si>
  <si>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</si>
  <si>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</si>
  <si>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</si>
  <si>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</si>
  <si>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</si>
  <si>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</si>
  <si>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</si>
  <si>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</si>
  <si>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</si>
  <si>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</si>
  <si>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</si>
  <si>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</si>
  <si>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</si>
  <si>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</si>
  <si>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</si>
  <si>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</si>
  <si>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</si>
  <si>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</si>
  <si>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</si>
  <si>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</si>
  <si>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</si>
  <si>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</si>
  <si>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</si>
  <si>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</si>
  <si>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</si>
  <si>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</si>
  <si>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</si>
  <si>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</si>
  <si>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</si>
  <si>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</si>
  <si>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</si>
  <si>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</si>
  <si>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</si>
  <si>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</si>
  <si>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</si>
  <si>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</si>
  <si>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</si>
  <si>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</si>
  <si>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</si>
  <si>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</si>
  <si>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</si>
  <si>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</si>
  <si>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</si>
  <si>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</si>
  <si>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</si>
  <si>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</si>
  <si>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</si>
  <si>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</si>
  <si>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</si>
  <si>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</si>
  <si>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</si>
  <si>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</si>
  <si>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</si>
  <si>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</si>
  <si>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</si>
  <si>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</si>
  <si>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</si>
  <si>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</si>
  <si>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</si>
  <si>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</si>
  <si>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</si>
  <si>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</si>
  <si>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</si>
  <si>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</si>
  <si>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</si>
  <si>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</si>
  <si>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</si>
  <si>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</si>
  <si>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</si>
  <si>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</si>
  <si>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</si>
  <si>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</si>
  <si>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</si>
  <si>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</si>
  <si>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</si>
  <si>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</si>
  <si>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</si>
  <si>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</si>
  <si>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</si>
  <si>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</si>
  <si>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</si>
  <si>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</si>
  <si>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</si>
  <si>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</si>
  <si>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</si>
  <si>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</si>
  <si>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</si>
  <si>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</si>
  <si>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</si>
  <si>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</si>
  <si>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</si>
  <si>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</si>
  <si>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</si>
  <si>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</si>
  <si>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</si>
  <si>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</si>
  <si>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</si>
  <si>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</si>
  <si>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</si>
  <si>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</si>
  <si>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</si>
  <si>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</si>
  <si>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</si>
  <si>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</si>
  <si>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</si>
  <si>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</si>
  <si>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</si>
  <si>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</si>
  <si>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</si>
  <si>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</si>
  <si>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</si>
  <si>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</si>
  <si>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</si>
  <si>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</si>
  <si>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</si>
  <si>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</si>
  <si>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</si>
  <si>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</si>
  <si>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</si>
  <si>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</si>
  <si>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</si>
  <si>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</si>
  <si>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</si>
  <si>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</si>
  <si>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</si>
  <si>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</si>
  <si>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</si>
  <si>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</si>
  <si>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</si>
  <si>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</si>
  <si>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</si>
  <si>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</si>
  <si>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</si>
  <si>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</si>
  <si>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</si>
  <si>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</si>
  <si>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</si>
  <si>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</si>
  <si>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</si>
  <si>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</si>
  <si>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</si>
  <si>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</si>
  <si>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</si>
  <si>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</si>
  <si>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</si>
  <si>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</si>
  <si>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</si>
  <si>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</si>
  <si>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</si>
  <si>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</si>
  <si>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</si>
  <si>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</si>
  <si>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</si>
  <si>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</si>
  <si>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</si>
  <si>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</si>
  <si>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</si>
  <si>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</si>
  <si>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</si>
  <si>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</si>
  <si>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</si>
  <si>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</si>
  <si>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</si>
  <si>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</si>
  <si>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</si>
  <si>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</si>
  <si>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</si>
  <si>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</si>
  <si>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</si>
  <si>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</si>
  <si>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</si>
  <si>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</si>
  <si>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</si>
  <si>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</si>
  <si>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</si>
  <si>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</si>
  <si>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</si>
  <si>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</si>
  <si>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</si>
  <si>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</si>
  <si>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</si>
  <si>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</si>
  <si>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</si>
  <si>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</si>
  <si>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</si>
  <si>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</si>
  <si>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</si>
  <si>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</si>
  <si>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</si>
  <si>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</si>
  <si>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</si>
  <si>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</si>
  <si>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</si>
  <si>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</si>
  <si>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</si>
  <si>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</si>
  <si>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</si>
  <si>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</si>
  <si>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</si>
  <si>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</si>
  <si>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</si>
  <si>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</si>
  <si>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</si>
  <si>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</si>
  <si>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</si>
  <si>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</si>
  <si>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</si>
  <si>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</si>
  <si>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</si>
  <si>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</si>
  <si>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</si>
  <si>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</si>
  <si>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</si>
  <si>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</si>
  <si>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</si>
  <si>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</si>
  <si>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</si>
  <si>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</si>
  <si>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</si>
  <si>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</si>
  <si>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</si>
  <si>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</si>
  <si>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</si>
  <si>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</si>
  <si>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</si>
  <si>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</si>
  <si>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</si>
  <si>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</si>
  <si>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</si>
  <si>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</si>
  <si>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</si>
  <si>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</si>
  <si>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</si>
  <si>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</si>
  <si>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</si>
  <si>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</si>
  <si>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</si>
  <si>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</si>
  <si>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</si>
  <si>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</si>
  <si>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</si>
  <si>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</si>
  <si>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</si>
  <si>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</si>
  <si>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</si>
  <si>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</si>
  <si>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</si>
  <si>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</si>
  <si>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</si>
  <si>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</si>
  <si>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</si>
  <si>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</si>
  <si>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</si>
  <si>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</si>
  <si>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</si>
  <si>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</si>
  <si>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</si>
  <si>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</si>
  <si>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</si>
  <si>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</si>
  <si>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</si>
  <si>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</si>
  <si>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</si>
  <si>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</si>
  <si>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</si>
  <si>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</si>
  <si>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</si>
  <si>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</si>
  <si>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</si>
  <si>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</si>
  <si>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</si>
  <si>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</si>
  <si>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</si>
  <si>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</si>
  <si>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</si>
  <si>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</si>
  <si>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</si>
  <si>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</si>
  <si>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</si>
  <si>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</si>
  <si>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</si>
  <si>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</si>
  <si>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</si>
  <si>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</si>
  <si>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</si>
  <si>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</si>
  <si>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</si>
  <si>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</si>
  <si>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</si>
  <si>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</si>
  <si>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</si>
  <si>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</si>
  <si>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</si>
  <si>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</si>
  <si>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</si>
  <si>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</si>
  <si>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</si>
  <si>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</si>
  <si>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</si>
  <si>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</si>
  <si>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</si>
  <si>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</si>
  <si>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</si>
  <si>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</si>
  <si>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</si>
  <si>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</si>
  <si>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</si>
  <si>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</si>
  <si>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</si>
  <si>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</si>
  <si>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</si>
  <si>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</si>
  <si>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</si>
  <si>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</si>
  <si>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</si>
  <si>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</si>
  <si>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</si>
  <si>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</si>
  <si>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</si>
  <si>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</si>
  <si>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</si>
  <si>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</si>
  <si>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</si>
  <si>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</si>
  <si>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</si>
  <si>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</si>
  <si>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</si>
  <si>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</si>
  <si>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</si>
  <si>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</si>
  <si>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</si>
  <si>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</si>
  <si>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</si>
  <si>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</si>
  <si>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</si>
  <si>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</si>
  <si>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</si>
  <si>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</si>
  <si>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</si>
  <si>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</si>
  <si>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</si>
  <si>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</si>
  <si>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</si>
  <si>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</si>
  <si>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</si>
  <si>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</si>
  <si>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</si>
  <si>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</si>
  <si>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</si>
  <si>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</si>
  <si>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</si>
  <si>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</si>
  <si>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</si>
  <si>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</si>
  <si>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</si>
  <si>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</si>
  <si>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</si>
  <si>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</si>
  <si>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</si>
  <si>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</si>
  <si>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</si>
  <si>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</si>
  <si>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</si>
  <si>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</si>
  <si>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</si>
  <si>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</si>
  <si>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</si>
  <si>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</si>
  <si>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</si>
  <si>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</si>
  <si>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</si>
  <si>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</si>
  <si>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</si>
  <si>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</si>
  <si>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</si>
  <si>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</si>
  <si>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</si>
  <si>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</si>
  <si>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</si>
  <si>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</si>
  <si>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</si>
  <si>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</si>
  <si>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</si>
  <si>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</si>
  <si>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</si>
  <si>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</si>
  <si>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</si>
  <si>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</si>
  <si>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</si>
  <si>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</si>
  <si>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</si>
  <si>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</si>
  <si>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</si>
  <si>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</si>
  <si>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</si>
  <si>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</si>
  <si>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</si>
  <si>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</si>
  <si>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</si>
  <si>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</si>
  <si>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</si>
  <si>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</si>
  <si>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</si>
  <si>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</si>
  <si>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</si>
  <si>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</si>
  <si>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</si>
  <si>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</si>
  <si>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</si>
  <si>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</si>
  <si>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</si>
  <si>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</si>
  <si>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</si>
  <si>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</si>
  <si>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</si>
  <si>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</si>
  <si>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</si>
  <si>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</si>
  <si>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</si>
  <si>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</si>
  <si>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</si>
  <si>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</si>
  <si>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</si>
  <si>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</si>
  <si>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</si>
  <si>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</si>
  <si>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</si>
  <si>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</si>
  <si>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</si>
  <si>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</si>
  <si>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</si>
  <si>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</si>
  <si>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</si>
  <si>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</si>
  <si>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</si>
  <si>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</si>
  <si>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</si>
  <si>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</si>
  <si>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</si>
  <si>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</si>
  <si>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</si>
  <si>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</si>
  <si>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</si>
  <si>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</si>
  <si>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</si>
  <si>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</si>
  <si>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</si>
  <si>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</si>
  <si>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</si>
  <si>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</si>
  <si>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</si>
  <si>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</si>
  <si>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</si>
  <si>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</si>
  <si>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</si>
  <si>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</si>
  <si>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</si>
  <si>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</si>
  <si>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</si>
  <si>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</si>
  <si>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</si>
  <si>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</si>
  <si>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</si>
  <si>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</si>
  <si>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</si>
  <si>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</si>
  <si>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</si>
  <si>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</si>
  <si>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</si>
  <si>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</si>
  <si>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</si>
  <si>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</si>
  <si>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</si>
  <si>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</si>
  <si>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</si>
  <si>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</si>
  <si>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</si>
  <si>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</si>
  <si>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</si>
  <si>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</si>
  <si>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</si>
  <si>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</si>
  <si>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</si>
  <si>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</si>
  <si>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</si>
  <si>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</si>
  <si>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</si>
  <si>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</si>
  <si>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</si>
  <si>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</si>
  <si>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</si>
  <si>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</si>
  <si>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</si>
  <si>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</si>
  <si>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</si>
  <si>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</si>
  <si>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</si>
  <si>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</si>
  <si>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</si>
  <si>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</si>
  <si>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</si>
  <si>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</si>
  <si>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</si>
  <si>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</si>
  <si>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</si>
  <si>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</si>
  <si>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</si>
  <si>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</si>
  <si>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</si>
  <si>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</si>
  <si>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</si>
  <si>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</si>
  <si>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</si>
  <si>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</si>
  <si>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</si>
  <si>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</si>
  <si>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</si>
  <si>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</si>
  <si>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</si>
  <si>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</si>
  <si>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</si>
  <si>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</si>
  <si>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</si>
  <si>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</si>
  <si>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</si>
  <si>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</si>
  <si>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</si>
  <si>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</si>
  <si>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</si>
  <si>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</si>
  <si>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</si>
  <si>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</si>
  <si>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</si>
  <si>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</si>
  <si>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</si>
  <si>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</si>
  <si>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</si>
  <si>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</si>
  <si>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</si>
  <si>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</si>
  <si>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</si>
  <si>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</si>
  <si>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</si>
  <si>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</si>
  <si>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</si>
  <si>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</si>
  <si>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</si>
  <si>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</si>
  <si>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</si>
  <si>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</si>
  <si>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</si>
  <si>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</si>
  <si>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</si>
  <si>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</si>
  <si>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</si>
  <si>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</si>
  <si>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</si>
  <si>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</si>
  <si>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</si>
  <si>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</si>
  <si>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</si>
  <si>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</si>
  <si>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</si>
  <si>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</si>
  <si>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</si>
  <si>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</si>
  <si>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</si>
  <si>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</si>
  <si>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</si>
  <si>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</si>
  <si>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</si>
  <si>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</si>
  <si>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</si>
  <si>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</si>
  <si>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</si>
  <si>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</si>
  <si>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</si>
  <si>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</si>
  <si>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</si>
  <si>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</si>
  <si>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</si>
  <si>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</si>
  <si>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</si>
  <si>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</si>
  <si>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</si>
  <si>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</si>
  <si>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</si>
  <si>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</si>
  <si>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</si>
  <si>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</si>
  <si>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</si>
  <si>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</si>
  <si>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</si>
  <si>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</si>
  <si>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</si>
  <si>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</si>
  <si>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</si>
  <si>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</si>
  <si>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</si>
  <si>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</si>
  <si>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</si>
  <si>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</si>
  <si>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</si>
  <si>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</si>
  <si>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</si>
  <si>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</si>
  <si>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</si>
  <si>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</si>
  <si>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</si>
  <si>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</si>
  <si>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</si>
  <si>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</si>
  <si>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</si>
  <si>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</si>
  <si>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</si>
  <si>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</si>
  <si>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</si>
  <si>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</si>
  <si>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</si>
  <si>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</si>
  <si>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</si>
  <si>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</si>
  <si>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</si>
  <si>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</si>
  <si>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</si>
  <si>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</si>
  <si>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</si>
  <si>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</si>
  <si>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</si>
  <si>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</si>
  <si>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</si>
  <si>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</si>
  <si>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</si>
  <si>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</si>
  <si>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</si>
  <si>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</si>
  <si>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</si>
  <si>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</si>
  <si>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</si>
  <si>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</si>
  <si>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</si>
  <si>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</si>
  <si>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</si>
  <si>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</si>
  <si>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</si>
  <si>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</si>
  <si>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</si>
  <si>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</si>
  <si>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</si>
  <si>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</si>
  <si>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</si>
  <si>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</si>
  <si>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</si>
  <si>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</si>
  <si>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</si>
  <si>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</si>
  <si>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</si>
  <si>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</si>
  <si>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</si>
  <si>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</si>
  <si>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</si>
  <si>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</si>
  <si>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</si>
  <si>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</si>
  <si>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</si>
  <si>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</si>
  <si>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</si>
  <si>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</si>
  <si>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</si>
  <si>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</si>
  <si>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</si>
  <si>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</si>
  <si>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</si>
  <si>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</si>
  <si>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</si>
  <si>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</si>
  <si>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</si>
  <si>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</si>
  <si>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</si>
  <si>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</si>
  <si>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</si>
  <si>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</si>
  <si>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</si>
  <si>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</si>
  <si>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</si>
  <si>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</si>
  <si>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</si>
  <si>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</si>
  <si>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</si>
  <si>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</si>
  <si>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</si>
  <si>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</si>
  <si>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</si>
  <si>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</si>
  <si>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</si>
  <si>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</si>
  <si>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</si>
  <si>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</si>
  <si>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</si>
  <si>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</si>
  <si>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</si>
  <si>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</si>
  <si>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</si>
  <si>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</si>
  <si>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</si>
  <si>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</si>
  <si>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</si>
  <si>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</si>
  <si>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</si>
  <si>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</si>
  <si>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</si>
  <si>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</si>
  <si>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</si>
  <si>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</si>
  <si>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</si>
  <si>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</si>
  <si>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</si>
  <si>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</si>
  <si>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</si>
  <si>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</si>
  <si>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</si>
  <si>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</si>
  <si>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</si>
  <si>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</si>
  <si>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</si>
  <si>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</si>
  <si>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</si>
  <si>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</si>
  <si>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</si>
  <si>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</si>
  <si>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</si>
  <si>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</si>
  <si>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</si>
  <si>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</si>
  <si>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</si>
  <si>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</si>
  <si>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</si>
  <si>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</si>
  <si>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</si>
  <si>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</si>
  <si>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</si>
  <si>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</si>
  <si>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</si>
  <si>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</si>
  <si>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</si>
  <si>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</si>
  <si>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</si>
  <si>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</si>
  <si>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</si>
  <si>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</si>
  <si>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</si>
  <si>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</si>
  <si>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</si>
  <si>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</si>
  <si>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</si>
  <si>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</si>
  <si>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</si>
  <si>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</si>
  <si>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</si>
  <si>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</si>
  <si>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</si>
  <si>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</si>
  <si>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</si>
  <si>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</si>
  <si>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</si>
  <si>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</si>
  <si>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</si>
  <si>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</si>
  <si>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</si>
  <si>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</si>
  <si>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</si>
  <si>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</si>
  <si>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</si>
  <si>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</si>
  <si>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</si>
  <si>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</si>
  <si>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</si>
  <si>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</si>
  <si>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</si>
  <si>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</si>
  <si>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</si>
  <si>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</si>
  <si>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</si>
  <si>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</si>
  <si>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</si>
  <si>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</si>
  <si>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</si>
  <si>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</si>
  <si>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</si>
  <si>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</si>
  <si>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</si>
  <si>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</si>
  <si>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</si>
  <si>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</si>
  <si>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</si>
  <si>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</si>
  <si>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</si>
  <si>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</si>
  <si>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</si>
  <si>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</si>
  <si>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</si>
  <si>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</si>
  <si>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</si>
  <si>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</si>
  <si>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</si>
  <si>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</si>
  <si>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</si>
  <si>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</si>
  <si>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</si>
  <si>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</si>
  <si>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</si>
  <si>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</si>
  <si>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</si>
  <si>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</si>
  <si>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</si>
  <si>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</si>
  <si>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</si>
  <si>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</si>
  <si>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</si>
  <si>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</si>
  <si>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</si>
  <si>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</si>
  <si>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</si>
  <si>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</si>
  <si>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</si>
  <si>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</si>
  <si>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</si>
  <si>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</si>
  <si>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</si>
  <si>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</si>
  <si>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</si>
  <si>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</si>
  <si>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</si>
  <si>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</si>
  <si>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</si>
  <si>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</si>
  <si>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</si>
  <si>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</si>
  <si>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</si>
  <si>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</si>
  <si>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</si>
  <si>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</si>
  <si>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</si>
  <si>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</si>
  <si>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</si>
  <si>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</si>
  <si>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</si>
  <si>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</si>
  <si>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</si>
  <si>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</si>
  <si>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</si>
  <si>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</si>
  <si>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</si>
  <si>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</si>
  <si>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</si>
  <si>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</si>
  <si>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</si>
  <si>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</si>
  <si>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</si>
  <si>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</si>
  <si>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</si>
  <si>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</si>
  <si>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</si>
  <si>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</si>
  <si>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</si>
  <si>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</si>
  <si>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</si>
  <si>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</si>
  <si>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</si>
  <si>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</si>
  <si>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</si>
  <si>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</si>
  <si>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</si>
  <si>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</si>
  <si>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</si>
  <si>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</si>
  <si>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</si>
  <si>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</si>
  <si>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</si>
  <si>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</si>
  <si>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</si>
  <si>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</si>
  <si>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</si>
  <si>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</si>
  <si>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</si>
  <si>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</si>
  <si>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</si>
  <si>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</si>
  <si>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</si>
  <si>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</si>
  <si>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</si>
  <si>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</si>
  <si>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</si>
  <si>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</si>
  <si>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</si>
  <si>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</si>
  <si>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</si>
  <si>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</si>
  <si>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</si>
  <si>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</si>
  <si>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</si>
  <si>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</si>
  <si>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</si>
  <si>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</si>
  <si>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</si>
  <si>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</si>
  <si>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</si>
  <si>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</si>
  <si>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</si>
  <si>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</si>
  <si>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</si>
  <si>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</si>
  <si>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</si>
  <si>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</si>
  <si>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</si>
  <si>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</si>
  <si>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</si>
  <si>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</si>
  <si>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</si>
  <si>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</si>
  <si>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</si>
  <si>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</si>
  <si>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</si>
  <si>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</si>
  <si>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</si>
  <si>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</si>
  <si>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</si>
  <si>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</si>
  <si>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</si>
  <si>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</si>
  <si>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</si>
  <si>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</si>
  <si>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</si>
  <si>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</si>
  <si>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</si>
  <si>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</si>
  <si>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</si>
  <si>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</si>
  <si>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</si>
  <si>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</si>
  <si>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</si>
  <si>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</si>
  <si>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</si>
  <si>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</si>
  <si>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</si>
  <si>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</si>
  <si>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</si>
  <si>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</si>
  <si>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</si>
  <si>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</si>
  <si>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</si>
  <si>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</si>
  <si>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</si>
  <si>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</si>
  <si>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</si>
  <si>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</si>
  <si>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</si>
  <si>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</si>
  <si>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</si>
  <si>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</si>
  <si>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</si>
  <si>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</si>
  <si>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</si>
  <si>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</si>
  <si>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</si>
  <si>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</si>
  <si>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</si>
  <si>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</si>
  <si>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</si>
  <si>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</si>
  <si>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</si>
  <si>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</si>
  <si>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</si>
  <si>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</si>
  <si>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</si>
  <si>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</si>
  <si>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</si>
  <si>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</si>
  <si>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</si>
  <si>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</si>
  <si>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</si>
  <si>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</si>
  <si>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</si>
  <si>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</si>
  <si>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</si>
  <si>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</si>
  <si>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</si>
  <si>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</si>
  <si>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</si>
  <si>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</si>
  <si>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</si>
  <si>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</si>
  <si>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</si>
  <si>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</si>
  <si>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</si>
  <si>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</si>
  <si>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</si>
  <si>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</si>
  <si>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</si>
  <si>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</si>
  <si>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</si>
  <si>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</si>
  <si>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</si>
  <si>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</si>
  <si>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</si>
  <si>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</si>
  <si>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</si>
  <si>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</si>
  <si>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</si>
  <si>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</si>
  <si>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</si>
  <si>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</si>
  <si>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</si>
  <si>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</si>
  <si>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</si>
  <si>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</si>
  <si>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</si>
  <si>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</si>
  <si>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</si>
  <si>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</si>
  <si>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</si>
  <si>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</si>
  <si>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</si>
  <si>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</si>
  <si>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</si>
  <si>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</si>
  <si>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</si>
  <si>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</si>
  <si>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</si>
  <si>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</si>
  <si>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</si>
  <si>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</si>
  <si>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</si>
  <si>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</si>
  <si>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</si>
  <si>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</si>
  <si>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</si>
  <si>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</si>
  <si>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</si>
  <si>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</si>
  <si>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</si>
  <si>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</si>
  <si>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</si>
  <si>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</si>
  <si>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</si>
  <si>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</si>
  <si>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</si>
  <si>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</si>
  <si>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</si>
  <si>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</si>
  <si>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</si>
  <si>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</si>
  <si>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</si>
  <si>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</si>
  <si>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</si>
  <si>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</si>
  <si>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</si>
  <si>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</si>
  <si>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</si>
  <si>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</si>
  <si>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</si>
  <si>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</si>
  <si>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</si>
  <si>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</si>
  <si>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</si>
  <si>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</si>
  <si>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</si>
  <si>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</si>
  <si>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</si>
  <si>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</si>
  <si>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</si>
  <si>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</si>
  <si>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</si>
  <si>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</si>
  <si>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</si>
  <si>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</si>
  <si>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</si>
  <si>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</si>
  <si>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</si>
  <si>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</si>
  <si>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</si>
  <si>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</si>
  <si>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</si>
  <si>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</si>
  <si>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</si>
  <si>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</si>
  <si>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</si>
  <si>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</si>
  <si>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</si>
  <si>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</si>
  <si>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</si>
  <si>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</si>
  <si>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</si>
  <si>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</si>
  <si>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</si>
  <si>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</si>
  <si>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</si>
  <si>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</si>
  <si>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</si>
  <si>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</si>
  <si>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</si>
  <si>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</si>
  <si>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</si>
  <si>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</si>
  <si>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</si>
  <si>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</si>
  <si>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</si>
  <si>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</si>
  <si>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</si>
  <si>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</si>
  <si>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</si>
  <si>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</si>
  <si>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</si>
  <si>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</si>
  <si>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</si>
  <si>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</si>
  <si>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</si>
  <si>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</si>
  <si>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</si>
  <si>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</si>
  <si>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</si>
  <si>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</si>
  <si>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</si>
  <si>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</si>
  <si>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</si>
  <si>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</si>
  <si>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</si>
  <si>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</si>
  <si>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</si>
  <si>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</si>
  <si>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</si>
  <si>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</si>
  <si>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</si>
  <si>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</si>
  <si>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</si>
  <si>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</si>
  <si>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</si>
  <si>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</si>
  <si>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</si>
  <si>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</si>
  <si>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</si>
  <si>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</si>
  <si>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</si>
  <si>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</si>
  <si>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</si>
  <si>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</si>
  <si>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</si>
  <si>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</si>
  <si>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</si>
  <si>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</si>
  <si>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</si>
  <si>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</si>
  <si>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</si>
  <si>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</si>
  <si>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</si>
  <si>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</si>
  <si>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</si>
  <si>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</si>
  <si>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</si>
  <si>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</si>
  <si>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</si>
  <si>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</si>
  <si>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</si>
  <si>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</si>
  <si>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</si>
  <si>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</si>
  <si>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</si>
  <si>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</si>
  <si>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</si>
  <si>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</si>
  <si>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</si>
  <si>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</si>
  <si>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</si>
  <si>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</si>
  <si>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</si>
  <si>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</si>
  <si>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</si>
  <si>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</si>
  <si>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</si>
  <si>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</si>
  <si>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</si>
  <si>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</si>
  <si>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</si>
  <si>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</si>
  <si>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</si>
  <si>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</si>
  <si>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</si>
  <si>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</si>
  <si>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</si>
  <si>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</si>
  <si>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</si>
  <si>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</si>
  <si>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</si>
  <si>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</si>
  <si>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</si>
  <si>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</si>
  <si>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</si>
  <si>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</si>
  <si>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</si>
  <si>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</si>
  <si>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</si>
  <si>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</si>
  <si>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</si>
  <si>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</si>
  <si>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</si>
  <si>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</si>
  <si>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</si>
  <si>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</si>
  <si>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</si>
  <si>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</si>
  <si>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</si>
  <si>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</si>
  <si>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</si>
  <si>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</si>
  <si>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</si>
  <si>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</si>
  <si>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</si>
  <si>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</si>
  <si>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</si>
  <si>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</si>
  <si>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</si>
  <si>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</si>
  <si>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</si>
  <si>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</si>
  <si>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</si>
  <si>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</si>
  <si>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</si>
  <si>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</si>
  <si>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</si>
  <si>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</si>
  <si>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</si>
  <si>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</si>
  <si>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</si>
  <si>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</si>
  <si>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</si>
  <si>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</si>
  <si>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</si>
  <si>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</si>
  <si>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</si>
  <si>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</si>
  <si>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</si>
  <si>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</si>
  <si>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</si>
  <si>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</si>
  <si>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</si>
  <si>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</si>
  <si>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</si>
  <si>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</si>
  <si>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</si>
  <si>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</si>
  <si>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</si>
  <si>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</si>
  <si>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</si>
  <si>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</si>
  <si>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</si>
  <si>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</si>
  <si>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</si>
  <si>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</si>
  <si>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</si>
  <si>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</si>
  <si>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</si>
  <si>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</si>
  <si>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</si>
  <si>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</si>
  <si>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</si>
  <si>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</si>
  <si>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</si>
  <si>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</si>
  <si>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</si>
  <si>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</si>
  <si>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</si>
  <si>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</si>
  <si>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</si>
  <si>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</si>
  <si>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</si>
  <si>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</si>
  <si>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</si>
  <si>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</si>
  <si>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</si>
  <si>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</si>
  <si>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</si>
  <si>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</si>
  <si>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</si>
  <si>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</si>
  <si>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</si>
  <si>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</si>
  <si>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</si>
  <si>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</si>
  <si>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</si>
  <si>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</si>
  <si>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</si>
  <si>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</si>
  <si>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</si>
  <si>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</si>
  <si>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</si>
  <si>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</si>
  <si>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</si>
  <si>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</si>
  <si>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</si>
  <si>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</si>
  <si>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</si>
  <si>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</si>
  <si>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</si>
  <si>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</si>
  <si>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</si>
  <si>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</si>
  <si>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</si>
  <si>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</si>
  <si>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</si>
  <si>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</si>
  <si>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</si>
  <si>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</si>
  <si>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</si>
  <si>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</si>
  <si>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</si>
  <si>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</si>
  <si>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</si>
  <si>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</si>
  <si>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</si>
  <si>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</si>
  <si>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</si>
  <si>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</si>
  <si>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</si>
  <si>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</si>
  <si>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</si>
  <si>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</si>
  <si>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</si>
  <si>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</si>
  <si>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</si>
  <si>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</si>
  <si>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</si>
  <si>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</si>
  <si>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</si>
  <si>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</si>
  <si>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</si>
  <si>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</si>
  <si>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</si>
  <si>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</si>
  <si>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</si>
  <si>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</si>
  <si>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</si>
  <si>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</si>
  <si>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</si>
  <si>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</si>
  <si>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</si>
  <si>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</si>
  <si>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</si>
  <si>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</si>
  <si>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</si>
  <si>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</si>
  <si>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</si>
  <si>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</si>
  <si>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</si>
  <si>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</si>
  <si>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</si>
  <si>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</si>
  <si>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</si>
  <si>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</si>
  <si>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</si>
  <si>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</si>
  <si>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</si>
  <si>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</si>
  <si>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</si>
  <si>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</si>
  <si>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</si>
  <si>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</si>
  <si>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</si>
  <si>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</si>
  <si>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</si>
  <si>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</si>
  <si>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</si>
  <si>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</si>
  <si>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</si>
  <si>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</si>
  <si>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</si>
  <si>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</si>
  <si>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</si>
  <si>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</si>
  <si>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</si>
  <si>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</si>
  <si>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</si>
  <si>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</si>
  <si>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</si>
  <si>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</si>
  <si>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</si>
  <si>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</si>
  <si>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</si>
  <si>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</si>
  <si>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</si>
  <si>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</si>
  <si>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</si>
  <si>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</si>
  <si>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</si>
  <si>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</si>
  <si>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</si>
  <si>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</si>
  <si>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</si>
  <si>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</si>
  <si>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</si>
  <si>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</si>
  <si>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</si>
  <si>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</si>
  <si>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</si>
  <si>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</si>
  <si>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</si>
  <si>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</si>
  <si>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</si>
  <si>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</si>
  <si>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</si>
  <si>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</si>
  <si>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</si>
  <si>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</si>
  <si>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</si>
  <si>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</si>
  <si>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</si>
  <si>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</si>
  <si>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</si>
  <si>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</si>
  <si>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</si>
  <si>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</si>
  <si>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</si>
  <si>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</si>
  <si>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</si>
  <si>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</si>
  <si>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</si>
  <si>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</si>
  <si>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</si>
  <si>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</si>
  <si>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</si>
  <si>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</si>
  <si>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</si>
  <si>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</si>
  <si>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</si>
  <si>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</si>
  <si>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</si>
  <si>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</si>
  <si>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</si>
  <si>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</si>
  <si>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</si>
  <si>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</si>
  <si>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</si>
  <si>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</si>
  <si>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</si>
  <si>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</si>
  <si>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</si>
  <si>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</si>
  <si>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</si>
  <si>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</si>
  <si>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</si>
  <si>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</si>
  <si>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</si>
  <si>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</si>
  <si>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</si>
  <si>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</si>
  <si>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</si>
  <si>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</si>
  <si>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</si>
  <si>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</si>
  <si>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</si>
  <si>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</si>
  <si>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</si>
  <si>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</si>
  <si>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</si>
  <si>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</si>
  <si>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</si>
  <si>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</si>
  <si>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</si>
  <si>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</si>
  <si>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</si>
  <si>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</si>
  <si>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</si>
  <si>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</si>
  <si>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</si>
  <si>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</si>
  <si>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</si>
  <si>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</si>
  <si>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</si>
  <si>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</si>
  <si>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</si>
  <si>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</si>
  <si>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</si>
  <si>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</si>
  <si>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</si>
  <si>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</si>
  <si>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</si>
  <si>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</si>
  <si>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</si>
  <si>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</si>
  <si>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</si>
  <si>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</si>
  <si>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</si>
  <si>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</si>
  <si>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</si>
  <si>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</si>
  <si>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</si>
  <si>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</si>
  <si>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</si>
  <si>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</si>
  <si>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</si>
  <si>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</si>
  <si>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</si>
  <si>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</si>
  <si>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</si>
  <si>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</si>
  <si>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</si>
  <si>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</si>
  <si>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</si>
  <si>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</si>
  <si>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</si>
  <si>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</si>
  <si>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</si>
  <si>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</si>
  <si>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</si>
  <si>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</si>
  <si>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</si>
  <si>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</si>
  <si>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</si>
  <si>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</si>
  <si>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</si>
  <si>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</si>
  <si>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</si>
  <si>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</si>
  <si>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</si>
  <si>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</si>
  <si>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</si>
  <si>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</si>
  <si>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</si>
  <si>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</si>
  <si>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</si>
  <si>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</si>
  <si>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</si>
  <si>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</si>
  <si>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</si>
  <si>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</si>
  <si>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</si>
  <si>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</si>
  <si>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</si>
  <si>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</si>
  <si>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</si>
  <si>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</si>
  <si>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</si>
  <si>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</si>
  <si>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</si>
  <si>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</si>
  <si>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</si>
  <si>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</si>
  <si>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</si>
  <si>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</si>
  <si>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</si>
  <si>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</si>
  <si>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</si>
  <si>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</si>
  <si>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</si>
  <si>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</si>
  <si>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</si>
  <si>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</si>
  <si>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</si>
  <si>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</si>
  <si>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</si>
  <si>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</si>
  <si>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</si>
  <si>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</si>
  <si>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</si>
  <si>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</si>
  <si>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</si>
  <si>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</si>
  <si>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</si>
  <si>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</si>
  <si>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</si>
  <si>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</si>
  <si>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</si>
  <si>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</si>
  <si>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</si>
  <si>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</si>
  <si>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</si>
  <si>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</si>
  <si>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</si>
  <si>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</si>
  <si>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</si>
  <si>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</si>
  <si>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</si>
  <si>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</si>
  <si>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</si>
  <si>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</si>
  <si>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</si>
  <si>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</si>
  <si>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</si>
  <si>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</si>
  <si>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</si>
  <si>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</si>
  <si>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</si>
  <si>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</si>
  <si>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</si>
  <si>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</si>
  <si>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</si>
  <si>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</si>
  <si>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</si>
  <si>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</si>
  <si>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</si>
  <si>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</si>
  <si>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</si>
  <si>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</si>
  <si>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</si>
  <si>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</si>
  <si>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</si>
  <si>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</si>
  <si>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</si>
  <si>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</si>
  <si>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</si>
  <si>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</si>
  <si>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</si>
  <si>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</si>
  <si>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</si>
  <si>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</si>
  <si>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</si>
  <si>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</si>
  <si>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</si>
  <si>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</si>
  <si>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</si>
  <si>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</si>
  <si>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</si>
  <si>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</si>
  <si>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</si>
  <si>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</si>
  <si>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</si>
  <si>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</si>
  <si>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</si>
  <si>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</si>
  <si>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</si>
  <si>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</si>
  <si>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</si>
  <si>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</si>
  <si>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</si>
  <si>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</si>
  <si>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</si>
  <si>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</si>
  <si>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</si>
  <si>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</si>
  <si>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</si>
  <si>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</si>
  <si>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</si>
  <si>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</si>
  <si>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</si>
  <si>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</si>
  <si>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</si>
  <si>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</si>
  <si>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</si>
  <si>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</si>
  <si>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</si>
  <si>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</si>
  <si>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</si>
  <si>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</si>
  <si>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</si>
  <si>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</si>
  <si>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</si>
  <si>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</si>
  <si>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</si>
  <si>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</si>
  <si>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</si>
  <si>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</si>
  <si>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</si>
  <si>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</si>
  <si>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</si>
  <si>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</si>
  <si>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</si>
  <si>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</si>
  <si>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</si>
  <si>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</si>
  <si>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</si>
  <si>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</si>
  <si>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</si>
  <si>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</si>
  <si>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</si>
  <si>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</si>
  <si>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</si>
  <si>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</si>
  <si>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</si>
  <si>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</si>
  <si>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</si>
  <si>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</si>
  <si>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</si>
  <si>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</si>
  <si>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</si>
  <si>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</si>
  <si>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</si>
  <si>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</si>
  <si>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</si>
  <si>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</si>
  <si>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</si>
  <si>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</si>
  <si>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</si>
  <si>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</si>
  <si>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</si>
  <si>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</si>
  <si>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</si>
  <si>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</si>
  <si>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</si>
  <si>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</si>
  <si>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</si>
  <si>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</si>
  <si>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</si>
  <si>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</si>
  <si>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</si>
  <si>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</si>
  <si>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</si>
  <si>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</si>
  <si>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</si>
  <si>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</si>
  <si>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</si>
  <si>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</si>
  <si>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</si>
  <si>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</si>
  <si>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</si>
  <si>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</si>
  <si>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</si>
  <si>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</si>
  <si>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</si>
  <si>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</si>
  <si>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</si>
  <si>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</si>
  <si>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</si>
  <si>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</si>
  <si>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</si>
  <si>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</si>
  <si>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</si>
  <si>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</si>
  <si>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</si>
  <si>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</si>
  <si>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</si>
  <si>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</si>
  <si>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</si>
  <si>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</si>
  <si>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</si>
  <si>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</si>
  <si>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</si>
  <si>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</si>
  <si>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</si>
  <si>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</si>
  <si>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</si>
  <si>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</si>
  <si>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</si>
  <si>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</si>
  <si>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</si>
  <si>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</si>
  <si>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</si>
  <si>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</si>
  <si>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</si>
  <si>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</si>
  <si>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</si>
  <si>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</si>
  <si>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</si>
  <si>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</si>
  <si>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</si>
  <si>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</si>
  <si>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</si>
  <si>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</si>
  <si>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</si>
  <si>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</si>
  <si>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</si>
  <si>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</si>
  <si>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</si>
  <si>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</si>
  <si>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</si>
  <si>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</si>
  <si>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</si>
  <si>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</si>
  <si>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</si>
  <si>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</si>
  <si>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</si>
  <si>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</si>
  <si>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</si>
  <si>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</si>
  <si>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</si>
  <si>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</si>
  <si>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</si>
  <si>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</si>
  <si>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</si>
  <si>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</si>
  <si>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</si>
  <si>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</si>
  <si>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</si>
  <si>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</si>
  <si>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</si>
  <si>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</si>
  <si>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</si>
  <si>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</si>
  <si>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</si>
  <si>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</si>
  <si>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</si>
  <si>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</si>
  <si>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</si>
  <si>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</si>
  <si>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</si>
  <si>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</si>
  <si>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</si>
  <si>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</si>
  <si>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</si>
  <si>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</si>
  <si>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</si>
  <si>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</si>
  <si>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</si>
  <si>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</si>
  <si>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</si>
  <si>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</si>
  <si>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</si>
  <si>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</si>
  <si>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</si>
  <si>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</si>
  <si>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</si>
  <si>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</si>
  <si>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</si>
  <si>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</si>
  <si>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</si>
  <si>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</si>
  <si>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</si>
  <si>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</si>
  <si>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</si>
  <si>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</si>
  <si>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</si>
  <si>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</si>
  <si>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</si>
  <si>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</si>
  <si>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</si>
  <si>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</si>
  <si>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</si>
  <si>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</si>
  <si>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</si>
  <si>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</si>
  <si>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</si>
  <si>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</si>
  <si>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</si>
  <si>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</si>
  <si>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</si>
  <si>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</si>
  <si>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</si>
  <si>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</si>
  <si>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</si>
  <si>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</si>
  <si>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</si>
  <si>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</si>
  <si>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</si>
  <si>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</si>
  <si>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</si>
  <si>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</si>
  <si>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</si>
  <si>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</si>
  <si>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</si>
  <si>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</si>
  <si>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</si>
  <si>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</si>
  <si>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</si>
  <si>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</si>
  <si>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</si>
  <si>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</si>
  <si>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</si>
  <si>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</si>
  <si>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</si>
  <si>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</si>
  <si>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</si>
  <si>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</si>
  <si>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</si>
  <si>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</si>
  <si>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</si>
  <si>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</si>
  <si>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</si>
  <si>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</si>
  <si>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</si>
  <si>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</si>
  <si>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</si>
  <si>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</si>
  <si>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</si>
  <si>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</si>
  <si>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</si>
  <si>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</si>
  <si>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</si>
  <si>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</si>
  <si>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</si>
  <si>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</si>
  <si>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</si>
  <si>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</si>
  <si>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</si>
  <si>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</si>
  <si>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</si>
  <si>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</si>
  <si>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</si>
  <si>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</si>
  <si>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</si>
  <si>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</si>
  <si>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</si>
  <si>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</si>
  <si>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</si>
  <si>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</si>
  <si>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</si>
  <si>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</si>
  <si>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</si>
  <si>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</si>
  <si>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</si>
  <si>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</si>
  <si>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</si>
  <si>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</si>
  <si>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</si>
  <si>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</si>
  <si>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</si>
  <si>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</si>
  <si>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</si>
  <si>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</si>
  <si>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</si>
  <si>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</si>
  <si>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</si>
  <si>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</si>
  <si>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</si>
  <si>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</si>
  <si>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</si>
  <si>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</si>
  <si>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</si>
  <si>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</si>
  <si>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</si>
  <si>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</si>
  <si>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</si>
  <si>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</si>
  <si>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</si>
  <si>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</si>
  <si>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</si>
  <si>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</si>
  <si>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</si>
  <si>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</si>
  <si>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</si>
  <si>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</si>
  <si>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</si>
  <si>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</si>
  <si>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</si>
  <si>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</si>
  <si>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</si>
  <si>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</si>
  <si>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</si>
  <si>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</si>
  <si>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</si>
  <si>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</si>
  <si>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</si>
  <si>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</si>
  <si>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</si>
  <si>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</si>
  <si>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</si>
  <si>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</si>
  <si>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</si>
  <si>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</si>
  <si>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</si>
  <si>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</si>
  <si>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</si>
  <si>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</si>
  <si>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</si>
  <si>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</si>
  <si>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</si>
  <si>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</si>
  <si>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</si>
  <si>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</si>
  <si>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</si>
  <si>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</si>
  <si>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</si>
  <si>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</si>
  <si>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</si>
  <si>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</si>
  <si>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</si>
  <si>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</si>
  <si>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</si>
  <si>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</si>
  <si>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</si>
  <si>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</si>
  <si>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</si>
  <si>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</si>
  <si>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</si>
  <si>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</si>
  <si>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</si>
  <si>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</si>
  <si>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</si>
  <si>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</si>
  <si>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</si>
  <si>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</si>
  <si>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</si>
  <si>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</si>
  <si>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</si>
  <si>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</si>
  <si>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</si>
  <si>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</si>
  <si>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</si>
  <si>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</si>
  <si>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</si>
  <si>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</si>
  <si>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</si>
  <si>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</si>
  <si>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</si>
  <si>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</si>
  <si>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</si>
  <si>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</si>
  <si>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</si>
  <si>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</si>
  <si>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</si>
  <si>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</si>
  <si>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</si>
  <si>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</si>
  <si>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</si>
  <si>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</si>
  <si>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</si>
  <si>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</si>
  <si>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</si>
  <si>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</si>
  <si>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</si>
  <si>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</si>
  <si>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</si>
  <si>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</si>
  <si>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</si>
  <si>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</si>
  <si>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</si>
  <si>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</si>
  <si>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</si>
  <si>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</si>
  <si>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</si>
  <si>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</si>
  <si>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</si>
  <si>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</si>
  <si>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</si>
  <si>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</si>
  <si>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</si>
  <si>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</si>
  <si>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</si>
  <si>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</si>
  <si>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</si>
  <si>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</si>
  <si>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</si>
  <si>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</si>
  <si>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</si>
  <si>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</si>
  <si>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</si>
  <si>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</si>
  <si>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</si>
  <si>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</si>
  <si>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</si>
  <si>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</si>
  <si>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</si>
  <si>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</si>
  <si>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</si>
  <si>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</si>
  <si>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</si>
  <si>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</si>
  <si>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</si>
  <si>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</si>
  <si>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</si>
  <si>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</si>
  <si>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</si>
  <si>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</si>
  <si>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</si>
  <si>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</si>
  <si>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</si>
  <si>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</si>
  <si>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</si>
  <si>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</si>
  <si>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</si>
  <si>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</si>
  <si>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</si>
  <si>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</si>
  <si>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</si>
  <si>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</si>
  <si>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</si>
  <si>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</si>
  <si>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</si>
  <si>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</si>
  <si>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</si>
  <si>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</si>
  <si>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</si>
  <si>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</si>
  <si>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</si>
  <si>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</si>
  <si>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</si>
  <si>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</si>
  <si>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</si>
  <si>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</si>
  <si>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</si>
  <si>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</si>
  <si>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</si>
  <si>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</si>
  <si>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</si>
  <si>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</si>
  <si>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</si>
  <si>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</si>
  <si>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</si>
  <si>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</si>
  <si>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</si>
  <si>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</si>
  <si>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</si>
  <si>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</si>
  <si>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</si>
  <si>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</si>
  <si>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</si>
  <si>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</si>
  <si>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</si>
  <si>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</si>
  <si>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</si>
  <si>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</si>
  <si>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</si>
  <si>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</si>
  <si>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</si>
  <si>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</si>
  <si>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</si>
  <si>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</si>
  <si>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</si>
  <si>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</si>
  <si>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</si>
  <si>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</si>
  <si>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</si>
  <si>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</si>
  <si>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</si>
  <si>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</si>
  <si>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</si>
  <si>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</si>
  <si>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</si>
  <si>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</si>
  <si>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</si>
  <si>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</si>
  <si>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</si>
  <si>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</si>
  <si>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</si>
  <si>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</si>
  <si>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</si>
  <si>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</si>
  <si>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</si>
  <si>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</si>
  <si>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</si>
  <si>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</si>
  <si>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</si>
  <si>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</si>
  <si>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</si>
  <si>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</si>
  <si>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</si>
  <si>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</si>
  <si>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</si>
  <si>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</si>
  <si>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</si>
  <si>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</si>
  <si>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</si>
  <si>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</si>
  <si>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</si>
  <si>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</si>
  <si>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</si>
  <si>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</si>
  <si>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</si>
  <si>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</si>
  <si>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</si>
  <si>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</si>
  <si>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</si>
  <si>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</si>
  <si>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</si>
  <si>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</si>
  <si>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</si>
  <si>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</si>
  <si>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</si>
  <si>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</si>
  <si>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</si>
  <si>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</si>
  <si>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</si>
  <si>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</si>
  <si>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</si>
  <si>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</si>
  <si>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</si>
  <si>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</si>
  <si>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</si>
  <si>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</si>
  <si>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</si>
  <si>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</si>
  <si>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</si>
  <si>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</si>
  <si>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</si>
  <si>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</si>
  <si>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</si>
  <si>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</si>
  <si>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</si>
  <si>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</si>
  <si>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</si>
  <si>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</si>
  <si>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</si>
  <si>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</si>
  <si>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</si>
  <si>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</si>
  <si>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</si>
  <si>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</si>
  <si>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</si>
  <si>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</si>
  <si>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</si>
  <si>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</si>
  <si>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</si>
  <si>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</si>
  <si>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</si>
  <si>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</si>
  <si>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</si>
  <si>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</si>
  <si>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</si>
  <si>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</si>
  <si>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</si>
  <si>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</si>
  <si>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</si>
  <si>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</si>
  <si>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</si>
  <si>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</si>
  <si>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</si>
  <si>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</si>
  <si>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</si>
  <si>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</si>
  <si>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</si>
  <si>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</si>
  <si>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</si>
  <si>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</si>
  <si>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</si>
  <si>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</si>
  <si>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</si>
  <si>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</si>
  <si>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</si>
  <si>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</si>
  <si>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</si>
  <si>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</si>
  <si>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</si>
  <si>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</si>
  <si>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</si>
  <si>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</si>
  <si>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</si>
  <si>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</si>
  <si>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</si>
  <si>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</si>
  <si>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</si>
  <si>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</si>
  <si>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</si>
  <si>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</si>
  <si>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</si>
  <si>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</si>
  <si>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</si>
  <si>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</si>
  <si>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</si>
  <si>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</si>
  <si>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</si>
  <si>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</si>
  <si>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</si>
  <si>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</si>
  <si>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</si>
  <si>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</si>
  <si>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</si>
  <si>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</si>
  <si>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</si>
  <si>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</si>
  <si>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</si>
  <si>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</si>
  <si>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</si>
  <si>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</si>
  <si>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</si>
  <si>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</si>
  <si>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</si>
  <si>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</si>
  <si>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</si>
  <si>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</si>
  <si>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</si>
  <si>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</si>
  <si>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</si>
  <si>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</si>
  <si>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</si>
  <si>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</si>
  <si>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</si>
  <si>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</si>
  <si>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</si>
  <si>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</si>
  <si>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</si>
  <si>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</si>
  <si>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</si>
  <si>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</si>
  <si>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</si>
  <si>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</si>
  <si>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</si>
  <si>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</si>
  <si>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</si>
  <si>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</si>
  <si>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</si>
  <si>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</si>
  <si>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</si>
  <si>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</si>
  <si>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</si>
  <si>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</si>
  <si>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</si>
  <si>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</si>
  <si>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</si>
  <si>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</si>
  <si>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</si>
  <si>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</si>
  <si>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</si>
  <si>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</si>
  <si>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</si>
  <si>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</si>
  <si>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</si>
  <si>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</si>
  <si>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</si>
  <si>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</si>
  <si>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</si>
  <si>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</si>
  <si>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</si>
  <si>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</si>
  <si>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</si>
  <si>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</si>
  <si>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</si>
  <si>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</si>
  <si>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</si>
  <si>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</si>
  <si>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</si>
  <si>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</si>
  <si>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</si>
  <si>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</si>
  <si>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</si>
  <si>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</si>
  <si>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</si>
  <si>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</si>
  <si>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</si>
  <si>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</si>
  <si>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</si>
  <si>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</si>
  <si>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</si>
  <si>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</si>
  <si>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</si>
  <si>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</si>
  <si>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</si>
  <si>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</si>
  <si>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</si>
  <si>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</si>
  <si>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</si>
  <si>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</si>
  <si>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</si>
  <si>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</si>
  <si>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</si>
  <si>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</si>
  <si>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</si>
  <si>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</si>
  <si>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</si>
  <si>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</si>
  <si>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</si>
  <si>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</si>
  <si>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</si>
  <si>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</si>
  <si>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</si>
  <si>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</si>
  <si>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</si>
  <si>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</si>
  <si>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</si>
  <si>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</si>
  <si>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</si>
  <si>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</si>
  <si>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</si>
  <si>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</si>
  <si>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</si>
  <si>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</si>
  <si>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</si>
  <si>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</si>
  <si>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</si>
  <si>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</si>
  <si>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</si>
  <si>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</si>
  <si>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</si>
  <si>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</si>
  <si>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</si>
  <si>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</si>
  <si>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</si>
  <si>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</si>
  <si>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</si>
  <si>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</si>
  <si>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</si>
  <si>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</si>
  <si>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</si>
  <si>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</si>
  <si>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</si>
  <si>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</si>
  <si>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</si>
  <si>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</si>
  <si>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</si>
  <si>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</si>
  <si>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</si>
  <si>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</si>
  <si>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</si>
  <si>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</si>
  <si>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</si>
  <si>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</si>
  <si>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</si>
  <si>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</si>
  <si>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</si>
  <si>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</si>
  <si>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</si>
  <si>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</si>
  <si>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</si>
  <si>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</si>
  <si>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</si>
  <si>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</si>
  <si>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</si>
  <si>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</si>
  <si>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</si>
  <si>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</si>
  <si>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</si>
  <si>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</si>
  <si>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</si>
  <si>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</si>
  <si>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</si>
  <si>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</si>
  <si>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</si>
  <si>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</si>
  <si>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</si>
  <si>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</si>
  <si>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</si>
  <si>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</si>
  <si>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</si>
  <si>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</si>
  <si>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</si>
  <si>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</si>
  <si>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</si>
  <si>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</si>
  <si>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</si>
  <si>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</si>
  <si>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</si>
  <si>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</si>
  <si>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</si>
  <si>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</si>
  <si>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</si>
  <si>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</si>
  <si>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</si>
  <si>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</si>
  <si>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</si>
  <si>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</si>
  <si>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</si>
  <si>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</si>
  <si>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</si>
  <si>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</si>
  <si>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</si>
  <si>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</si>
  <si>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</si>
  <si>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</si>
  <si>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</si>
  <si>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</si>
  <si>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</si>
  <si>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</si>
  <si>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</si>
  <si>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</si>
  <si>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</si>
  <si>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</si>
  <si>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</si>
  <si>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</si>
  <si>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</si>
  <si>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</si>
  <si>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</si>
  <si>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</si>
  <si>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</si>
  <si>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</si>
  <si>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</si>
  <si>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</si>
  <si>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</si>
  <si>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</si>
  <si>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</si>
  <si>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</si>
  <si>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</si>
  <si>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</si>
  <si>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</si>
  <si>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</si>
  <si>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</si>
  <si>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</si>
  <si>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</si>
  <si>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</si>
  <si>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</si>
  <si>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</si>
  <si>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</si>
  <si>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</si>
  <si>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</si>
  <si>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</si>
  <si>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</si>
  <si>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</si>
  <si>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</si>
  <si>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</si>
  <si>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</si>
  <si>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</si>
  <si>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</si>
  <si>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</si>
  <si>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</si>
  <si>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</si>
  <si>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</si>
  <si>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</si>
  <si>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</si>
  <si>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</si>
  <si>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</si>
  <si>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</si>
  <si>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</si>
  <si>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</si>
  <si>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</si>
  <si>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</si>
  <si>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</si>
  <si>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</si>
  <si>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</si>
  <si>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</si>
  <si>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</si>
  <si>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</si>
  <si>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</si>
  <si>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</si>
  <si>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</si>
  <si>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</si>
  <si>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</si>
  <si>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</si>
  <si>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</si>
  <si>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</si>
  <si>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</si>
  <si>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</si>
  <si>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</si>
  <si>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</si>
  <si>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</si>
  <si>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</si>
  <si>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</si>
  <si>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</si>
  <si>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</si>
  <si>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</si>
  <si>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</si>
  <si>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</si>
  <si>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</si>
  <si>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</si>
  <si>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</si>
  <si>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</si>
  <si>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</si>
  <si>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</si>
  <si>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</si>
  <si>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</si>
  <si>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</si>
  <si>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</si>
  <si>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</si>
  <si>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</si>
  <si>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</si>
  <si>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</si>
  <si>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</si>
  <si>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</si>
  <si>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</si>
  <si>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</si>
  <si>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</si>
  <si>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</si>
  <si>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</si>
  <si>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</si>
  <si>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</si>
  <si>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</si>
  <si>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</si>
  <si>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</si>
  <si>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</si>
  <si>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</si>
  <si>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</si>
  <si>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</si>
  <si>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</si>
  <si>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</si>
  <si>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</si>
  <si>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</si>
  <si>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</si>
  <si>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</si>
  <si>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</si>
  <si>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</si>
  <si>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</si>
  <si>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</si>
  <si>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</si>
  <si>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</si>
  <si>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</si>
  <si>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</si>
  <si>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</si>
  <si>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</si>
  <si>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</si>
  <si>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</si>
  <si>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</si>
  <si>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</si>
  <si>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</si>
  <si>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</si>
  <si>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</si>
  <si>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</si>
  <si>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</si>
  <si>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</si>
  <si>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</si>
  <si>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</si>
  <si>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</si>
  <si>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</si>
  <si>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</si>
  <si>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</si>
  <si>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</si>
  <si>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</si>
  <si>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</si>
  <si>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</si>
  <si>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</si>
  <si>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</si>
  <si>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</si>
  <si>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</si>
  <si>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</si>
  <si>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</si>
  <si>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</si>
  <si>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</si>
  <si>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</si>
  <si>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</si>
  <si>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</si>
  <si>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</si>
  <si>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</si>
  <si>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</si>
  <si>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</si>
  <si>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</si>
  <si>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</si>
  <si>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</si>
  <si>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</si>
  <si>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</si>
  <si>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</si>
  <si>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</si>
  <si>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</si>
  <si>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</si>
  <si>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</si>
  <si>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</si>
  <si>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</si>
  <si>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</si>
  <si>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</si>
  <si>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</si>
  <si>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</si>
  <si>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</si>
  <si>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</si>
  <si>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</si>
  <si>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</si>
  <si>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</si>
  <si>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</si>
  <si>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</si>
  <si>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</si>
  <si>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</si>
  <si>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</si>
  <si>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</si>
  <si>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</si>
  <si>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</si>
  <si>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</si>
  <si>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</si>
  <si>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</si>
  <si>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</si>
  <si>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</si>
  <si>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</si>
  <si>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</si>
  <si>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</si>
  <si>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</si>
  <si>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</si>
  <si>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</si>
  <si>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</si>
  <si>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</si>
  <si>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</si>
  <si>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</si>
  <si>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</si>
  <si>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</si>
  <si>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</si>
  <si>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</si>
  <si>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</si>
  <si>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</si>
  <si>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</si>
  <si>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</si>
  <si>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</si>
  <si>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</si>
  <si>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</si>
  <si>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</si>
  <si>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</si>
  <si>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</si>
  <si>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</si>
  <si>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</si>
  <si>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</si>
  <si>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</si>
  <si>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</si>
  <si>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</si>
  <si>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</si>
  <si>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</si>
  <si>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</si>
  <si>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</si>
  <si>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</si>
  <si>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</si>
  <si>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</si>
  <si>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</si>
  <si>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</si>
  <si>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</si>
  <si>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</si>
  <si>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</si>
  <si>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</si>
  <si>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</si>
  <si>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</si>
  <si>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</si>
  <si>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</si>
  <si>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</si>
  <si>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</si>
  <si>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</si>
  <si>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</si>
  <si>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</si>
  <si>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</si>
  <si>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</si>
  <si>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</si>
  <si>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</si>
  <si>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</si>
  <si>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</si>
  <si>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</si>
  <si>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</si>
  <si>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</si>
  <si>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</si>
  <si>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</si>
  <si>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</si>
  <si>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</si>
  <si>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</si>
  <si>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</si>
  <si>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</si>
  <si>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</si>
  <si>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</si>
  <si>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</si>
  <si>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</si>
  <si>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</si>
  <si>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</si>
  <si>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</si>
  <si>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</si>
  <si>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</si>
  <si>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</si>
  <si>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</si>
  <si>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</si>
  <si>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</si>
  <si>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</si>
  <si>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</si>
  <si>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</si>
  <si>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</si>
  <si>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</si>
  <si>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</si>
  <si>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</si>
  <si>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</si>
  <si>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</si>
  <si>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</si>
  <si>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</si>
  <si>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</si>
  <si>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</si>
  <si>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</si>
  <si>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</si>
  <si>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</si>
  <si>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</si>
  <si>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</si>
  <si>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</si>
  <si>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</si>
  <si>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</si>
  <si>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</si>
  <si>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</si>
  <si>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</si>
  <si>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</si>
  <si>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</si>
  <si>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</si>
  <si>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</si>
  <si>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</si>
  <si>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</si>
  <si>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</si>
  <si>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</si>
  <si>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</si>
  <si>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</si>
  <si>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</si>
  <si>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</si>
  <si>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</si>
  <si>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</si>
  <si>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</si>
  <si>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</si>
  <si>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</si>
  <si>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</si>
  <si>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</si>
  <si>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</si>
  <si>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</si>
  <si>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</si>
  <si>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</si>
  <si>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</si>
  <si>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</si>
  <si>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</si>
  <si>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</si>
  <si>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</si>
  <si>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</si>
  <si>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</si>
  <si>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</si>
  <si>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</si>
  <si>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</si>
  <si>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</si>
  <si>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</si>
  <si>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</si>
  <si>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</si>
  <si>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</si>
  <si>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</si>
  <si>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</si>
  <si>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</si>
  <si>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</si>
  <si>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</si>
  <si>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</si>
  <si>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</si>
  <si>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</si>
  <si>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</si>
  <si>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</si>
  <si>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</si>
  <si>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</si>
  <si>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</si>
  <si>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</si>
  <si>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</si>
  <si>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</si>
  <si>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</si>
  <si>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</si>
  <si>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</si>
  <si>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</si>
  <si>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</si>
  <si>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</si>
  <si>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</si>
  <si>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</si>
  <si>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</si>
  <si>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</si>
  <si>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</si>
  <si>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</si>
  <si>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</si>
  <si>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</si>
  <si>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</si>
  <si>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</si>
  <si>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</si>
  <si>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</si>
  <si>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</si>
  <si>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</si>
  <si>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</si>
  <si>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</si>
  <si>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</si>
  <si>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</si>
  <si>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</si>
  <si>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</si>
  <si>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</si>
  <si>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</si>
  <si>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</si>
  <si>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</si>
  <si>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</si>
  <si>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</si>
  <si>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</si>
  <si>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</si>
  <si>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</si>
  <si>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</si>
  <si>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</si>
  <si>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</si>
  <si>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</si>
  <si>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</si>
  <si>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</si>
  <si>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</si>
  <si>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</si>
  <si>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</si>
  <si>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</si>
  <si>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</si>
  <si>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</si>
  <si>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</si>
  <si>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</si>
  <si>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</si>
  <si>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</si>
  <si>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</si>
  <si>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</si>
  <si>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</si>
  <si>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</si>
  <si>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</si>
  <si>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</si>
  <si>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</si>
  <si>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</si>
  <si>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</si>
  <si>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</si>
  <si>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</si>
  <si>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</si>
  <si>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</si>
  <si>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</si>
  <si>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</si>
  <si>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</si>
  <si>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</si>
  <si>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</si>
  <si>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</si>
  <si>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</si>
  <si>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</si>
  <si>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</si>
  <si>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</si>
  <si>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</si>
  <si>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</si>
  <si>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</si>
  <si>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</si>
  <si>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</si>
  <si>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</si>
  <si>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</si>
  <si>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</si>
  <si>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</si>
  <si>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</si>
  <si>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</si>
  <si>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</si>
  <si>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</si>
  <si>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</si>
  <si>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</si>
  <si>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</si>
  <si>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</si>
  <si>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</si>
  <si>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</si>
  <si>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</si>
  <si>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</si>
  <si>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</si>
  <si>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</si>
  <si>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</si>
  <si>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</si>
  <si>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</si>
  <si>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</si>
  <si>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</si>
  <si>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</si>
  <si>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</si>
  <si>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</si>
  <si>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</si>
  <si>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</si>
  <si>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</si>
  <si>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</si>
  <si>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</si>
  <si>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</si>
  <si>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</si>
  <si>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</si>
  <si>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</si>
  <si>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</si>
  <si>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</si>
  <si>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</si>
  <si>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</si>
  <si>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</si>
  <si>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</si>
  <si>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</si>
  <si>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</si>
  <si>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</si>
  <si>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</si>
  <si>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</si>
  <si>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</si>
  <si>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</si>
  <si>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</si>
  <si>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</si>
  <si>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</si>
  <si>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</si>
  <si>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</si>
  <si>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</si>
  <si>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</si>
  <si>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</si>
  <si>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</si>
  <si>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</si>
  <si>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</si>
  <si>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</si>
  <si>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</si>
  <si>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</si>
  <si>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</si>
  <si>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</si>
  <si>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</si>
  <si>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</si>
  <si>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</si>
  <si>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</si>
  <si>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</si>
  <si>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</si>
  <si>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</si>
  <si>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</si>
  <si>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</si>
  <si>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</si>
  <si>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</si>
  <si>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</si>
  <si>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</si>
  <si>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</si>
  <si>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</si>
  <si>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</si>
  <si>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</si>
  <si>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</si>
  <si>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</si>
  <si>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</si>
  <si>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</si>
  <si>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</si>
  <si>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</si>
  <si>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</si>
  <si>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</si>
  <si>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</si>
  <si>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</si>
  <si>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</si>
  <si>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</si>
  <si>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</si>
  <si>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</si>
  <si>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</si>
  <si>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</si>
  <si>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</si>
  <si>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</si>
  <si>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</si>
  <si>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</si>
  <si>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</si>
  <si>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</si>
  <si>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</si>
  <si>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</si>
  <si>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</si>
  <si>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</si>
  <si>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</si>
  <si>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</si>
  <si>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</si>
  <si>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</si>
  <si>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</si>
  <si>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</si>
  <si>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</si>
  <si>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</si>
  <si>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</si>
  <si>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</si>
  <si>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</si>
  <si>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</si>
  <si>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</si>
  <si>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</si>
  <si>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</si>
  <si>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</si>
  <si>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</si>
  <si>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</si>
  <si>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</si>
  <si>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</si>
  <si>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</si>
  <si>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</si>
  <si>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</si>
  <si>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</si>
  <si>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</si>
  <si>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</si>
  <si>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</si>
  <si>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</si>
  <si>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</si>
  <si>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</si>
  <si>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</si>
  <si>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</si>
  <si>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</si>
  <si>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</si>
  <si>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</si>
  <si>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</si>
  <si>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</si>
  <si>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</si>
  <si>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</si>
  <si>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</si>
  <si>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</si>
  <si>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</si>
  <si>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</si>
  <si>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</si>
  <si>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</si>
  <si>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</si>
  <si>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</si>
  <si>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</si>
  <si>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</si>
  <si>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</si>
  <si>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</si>
  <si>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</si>
  <si>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</si>
  <si>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</si>
  <si>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</si>
  <si>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</si>
  <si>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</si>
  <si>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</si>
  <si>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</si>
  <si>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</si>
  <si>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</si>
  <si>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</si>
  <si>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</si>
  <si>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</si>
  <si>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</si>
  <si>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</si>
  <si>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</si>
  <si>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</si>
  <si>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</si>
  <si>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</si>
  <si>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</si>
  <si>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</si>
  <si>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</si>
  <si>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</si>
  <si>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</si>
  <si>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</si>
  <si>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</si>
  <si>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</si>
  <si>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</si>
  <si>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</si>
  <si>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</si>
  <si>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</si>
  <si>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</si>
  <si>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</si>
  <si>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</si>
  <si>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</si>
  <si>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</si>
  <si>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</si>
  <si>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</si>
  <si>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</si>
  <si>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</si>
  <si>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</si>
  <si>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</si>
  <si>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</si>
  <si>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</si>
  <si>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</si>
  <si>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</si>
  <si>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</si>
  <si>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</si>
  <si>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</si>
  <si>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</si>
  <si>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</si>
  <si>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</si>
  <si>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</si>
  <si>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</si>
  <si>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</si>
  <si>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</si>
  <si>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</si>
  <si>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</si>
  <si>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</si>
  <si>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</si>
  <si>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</si>
  <si>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</si>
  <si>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</si>
  <si>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</si>
  <si>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</si>
  <si>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</si>
  <si>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</si>
  <si>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</si>
  <si>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</si>
  <si>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</si>
  <si>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</si>
  <si>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</si>
  <si>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</si>
  <si>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</si>
  <si>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</si>
  <si>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</si>
  <si>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</si>
  <si>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</si>
  <si>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</si>
  <si>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</si>
  <si>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</si>
  <si>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</si>
  <si>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</si>
  <si>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</si>
  <si>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</si>
  <si>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</si>
  <si>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</si>
  <si>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</si>
  <si>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</si>
  <si>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</si>
  <si>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</si>
  <si>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</si>
  <si>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</si>
  <si>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</si>
  <si>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</si>
  <si>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</si>
  <si>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</si>
  <si>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</si>
  <si>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</si>
  <si>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</si>
  <si>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</si>
  <si>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</si>
  <si>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</si>
  <si>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</si>
  <si>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</si>
  <si>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</si>
  <si>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</si>
  <si>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</si>
  <si>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</si>
  <si>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</si>
  <si>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</si>
  <si>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</si>
  <si>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</si>
  <si>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</si>
  <si>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</si>
  <si>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</si>
  <si>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</si>
  <si>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</si>
  <si>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</si>
  <si>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</si>
  <si>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</si>
  <si>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</si>
  <si>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</si>
  <si>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</si>
  <si>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</si>
  <si>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</si>
  <si>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</si>
  <si>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</si>
  <si>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</si>
  <si>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</si>
  <si>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</si>
  <si>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</si>
  <si>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</si>
  <si>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</si>
  <si>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</si>
  <si>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</si>
  <si>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</si>
  <si>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</si>
  <si>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</si>
  <si>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</si>
  <si>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</si>
  <si>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</si>
  <si>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</si>
  <si>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</si>
  <si>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</si>
  <si>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</si>
  <si>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</si>
  <si>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</si>
  <si>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</si>
  <si>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</si>
  <si>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</si>
  <si>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</si>
  <si>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</si>
  <si>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</si>
  <si>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</si>
  <si>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</si>
  <si>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</si>
  <si>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</si>
  <si>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</si>
  <si>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</si>
  <si>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</si>
  <si>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</si>
  <si>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</si>
  <si>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</si>
  <si>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</si>
  <si>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</si>
  <si>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</si>
  <si>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</si>
  <si>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</si>
  <si>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</si>
  <si>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</si>
  <si>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</si>
  <si>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</si>
  <si>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</si>
  <si>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</si>
  <si>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</si>
  <si>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</si>
  <si>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</si>
  <si>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</si>
  <si>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</si>
  <si>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</si>
  <si>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</si>
  <si>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</si>
  <si>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</si>
  <si>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</si>
  <si>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</si>
  <si>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</si>
  <si>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</si>
  <si>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</si>
  <si>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</si>
  <si>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</si>
  <si>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</si>
  <si>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</si>
  <si>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</si>
  <si>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</si>
  <si>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</si>
  <si>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</si>
  <si>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</si>
  <si>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</si>
  <si>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</si>
  <si>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</si>
  <si>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</si>
  <si>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</si>
  <si>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</si>
  <si>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</si>
  <si>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</si>
  <si>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</si>
  <si>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</si>
  <si>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</si>
  <si>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</si>
  <si>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</si>
  <si>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</si>
  <si>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</si>
  <si>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</si>
  <si>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</si>
  <si>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</si>
  <si>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</si>
  <si>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</si>
  <si>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</si>
  <si>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</si>
  <si>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</si>
  <si>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</si>
  <si>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</si>
  <si>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</si>
  <si>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</si>
  <si>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</si>
  <si>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</si>
  <si>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</si>
  <si>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</si>
  <si>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</si>
  <si>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</si>
  <si>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</si>
  <si>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</si>
  <si>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</si>
  <si>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</si>
  <si>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</si>
  <si>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</si>
  <si>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</si>
  <si>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</si>
  <si>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</si>
  <si>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</si>
  <si>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</si>
  <si>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</si>
  <si>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</si>
  <si>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</si>
  <si>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</si>
  <si>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</si>
  <si>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</si>
  <si>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</si>
  <si>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</si>
  <si>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</si>
  <si>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</si>
  <si>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</si>
  <si>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</si>
  <si>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</si>
  <si>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</si>
  <si>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</si>
  <si>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</si>
  <si>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</si>
  <si>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</si>
  <si>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</si>
  <si>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</si>
  <si>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</si>
  <si>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</si>
  <si>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</si>
  <si>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</si>
  <si>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</si>
  <si>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</si>
  <si>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</si>
  <si>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</si>
  <si>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</si>
  <si>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</si>
  <si>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</si>
  <si>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</si>
  <si>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</si>
  <si>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</si>
  <si>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</si>
  <si>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</si>
  <si>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</si>
  <si>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</si>
  <si>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</si>
  <si>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</si>
  <si>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</si>
  <si>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</si>
  <si>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</si>
  <si>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</si>
  <si>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</si>
  <si>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</si>
  <si>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</si>
  <si>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</si>
  <si>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</si>
  <si>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</si>
  <si>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</si>
  <si>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</si>
  <si>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</si>
  <si>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</si>
  <si>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</si>
  <si>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</si>
  <si>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</si>
  <si>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</si>
  <si>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</si>
  <si>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</si>
  <si>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</si>
  <si>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</si>
  <si>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</si>
  <si>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</si>
  <si>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</si>
  <si>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</si>
  <si>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</si>
  <si>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</si>
  <si>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</si>
  <si>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</si>
  <si>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</si>
  <si>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</si>
  <si>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</si>
  <si>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</si>
  <si>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</si>
  <si>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</si>
  <si>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</si>
  <si>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</si>
  <si>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</si>
  <si>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</si>
  <si>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</si>
  <si>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</si>
  <si>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</si>
  <si>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</si>
  <si>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</si>
  <si>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</si>
  <si>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</si>
  <si>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</si>
  <si>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</si>
  <si>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</si>
  <si>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</si>
  <si>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</si>
  <si>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</si>
  <si>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</si>
  <si>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</si>
  <si>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</si>
  <si>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</si>
  <si>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</si>
  <si>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</si>
  <si>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</si>
  <si>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</si>
  <si>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</si>
  <si>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</si>
  <si>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</si>
  <si>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</si>
  <si>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</si>
  <si>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</si>
  <si>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</si>
  <si>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</si>
  <si>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</si>
  <si>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</si>
  <si>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</si>
  <si>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</si>
  <si>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</si>
  <si>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</si>
  <si>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</si>
  <si>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</si>
  <si>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</si>
  <si>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</si>
  <si>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</si>
  <si>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</si>
  <si>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</si>
  <si>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</si>
  <si>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</si>
  <si>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</si>
  <si>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</si>
  <si>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</si>
  <si>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</si>
  <si>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</si>
  <si>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</si>
  <si>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</si>
  <si>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</si>
  <si>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</si>
  <si>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</si>
  <si>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</si>
  <si>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</si>
  <si>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</si>
  <si>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</si>
  <si>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</si>
  <si>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</si>
  <si>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</si>
  <si>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</si>
  <si>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</si>
  <si>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</si>
  <si>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</si>
  <si>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</si>
  <si>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</si>
  <si>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</si>
  <si>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</si>
  <si>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</si>
  <si>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</si>
  <si>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</si>
  <si>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</si>
  <si>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</si>
  <si>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</si>
  <si>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</si>
  <si>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</si>
  <si>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</si>
  <si>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</si>
  <si>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</si>
  <si>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</si>
  <si>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</si>
  <si>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</si>
  <si>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</si>
  <si>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</si>
  <si>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</si>
  <si>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</si>
  <si>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</si>
  <si>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</si>
  <si>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</si>
  <si>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</si>
  <si>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</si>
  <si>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</si>
  <si>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</si>
  <si>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</si>
  <si>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</si>
  <si>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</si>
  <si>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</si>
  <si>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</si>
  <si>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</si>
  <si>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</si>
  <si>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</si>
  <si>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</si>
  <si>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</si>
  <si>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</si>
  <si>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</si>
  <si>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</si>
  <si>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</si>
  <si>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</si>
  <si>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</si>
  <si>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</si>
  <si>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</si>
  <si>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</si>
  <si>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</si>
  <si>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</si>
  <si>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</si>
  <si>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</si>
  <si>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</si>
  <si>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</si>
  <si>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</si>
  <si>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</si>
  <si>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</si>
  <si>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</si>
  <si>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</si>
  <si>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</si>
  <si>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</si>
  <si>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</si>
  <si>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</si>
  <si>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</si>
  <si>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</si>
  <si>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</si>
  <si>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</si>
  <si>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</si>
  <si>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</si>
  <si>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</si>
  <si>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</si>
  <si>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</si>
  <si>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</si>
  <si>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</si>
  <si>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</si>
  <si>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</si>
  <si>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</si>
  <si>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</si>
  <si>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</si>
  <si>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</si>
  <si>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</si>
  <si>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</si>
  <si>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</si>
  <si>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</si>
  <si>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</si>
  <si>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</si>
  <si>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</si>
  <si>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</si>
  <si>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</si>
  <si>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</si>
  <si>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</si>
  <si>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</si>
  <si>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</si>
  <si>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</si>
  <si>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</si>
  <si>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</si>
  <si>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</si>
  <si>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</si>
  <si>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</si>
  <si>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</si>
  <si>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</si>
  <si>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</si>
  <si>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</si>
  <si>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</si>
  <si>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</si>
  <si>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</si>
  <si>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</si>
  <si>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</si>
  <si>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</si>
  <si>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</si>
  <si>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</si>
  <si>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</si>
  <si>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</si>
  <si>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</si>
  <si>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</si>
  <si>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</si>
  <si>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</si>
  <si>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</si>
  <si>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</si>
  <si>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</si>
  <si>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</si>
  <si>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</si>
  <si>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</si>
  <si>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</si>
  <si>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</si>
  <si>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</si>
  <si>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</si>
  <si>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</si>
  <si>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</si>
  <si>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</si>
  <si>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</si>
  <si>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</si>
  <si>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</si>
  <si>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</si>
  <si>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</si>
  <si>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</si>
  <si>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</si>
  <si>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</si>
  <si>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</si>
  <si>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</si>
  <si>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</si>
  <si>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</si>
  <si>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</si>
  <si>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</si>
  <si>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</si>
  <si>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</si>
  <si>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</si>
  <si>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</si>
  <si>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</si>
  <si>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</si>
  <si>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</si>
  <si>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</si>
  <si>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</si>
  <si>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</si>
  <si>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</si>
  <si>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</si>
  <si>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</si>
  <si>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</si>
  <si>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</si>
  <si>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</si>
  <si>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</si>
  <si>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</si>
  <si>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</si>
  <si>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</si>
  <si>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</si>
  <si>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</si>
  <si>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</si>
  <si>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</si>
  <si>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</si>
  <si>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</si>
  <si>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</si>
  <si>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</si>
  <si>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</si>
  <si>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</si>
  <si>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</si>
  <si>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</si>
  <si>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</si>
  <si>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</si>
  <si>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</si>
  <si>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</si>
  <si>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</si>
  <si>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</si>
  <si>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</si>
  <si>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</si>
  <si>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</si>
  <si>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</si>
  <si>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</si>
  <si>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</si>
  <si>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</si>
  <si>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</si>
  <si>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</si>
  <si>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</si>
  <si>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</si>
  <si>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</si>
  <si>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</si>
  <si>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</si>
  <si>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</si>
  <si>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</si>
  <si>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</si>
  <si>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</si>
  <si>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</si>
  <si>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</si>
  <si>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</si>
  <si>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</si>
  <si>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</si>
  <si>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</si>
  <si>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</si>
  <si>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</si>
  <si>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</si>
  <si>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</si>
  <si>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</si>
  <si>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</si>
  <si>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</si>
  <si>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</si>
  <si>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</si>
  <si>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</si>
  <si>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</si>
  <si>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</si>
  <si>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</si>
  <si>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</si>
  <si>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</si>
  <si>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</si>
  <si>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</si>
  <si>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</si>
  <si>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</si>
  <si>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</si>
  <si>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</si>
  <si>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</si>
  <si>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</si>
  <si>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</si>
  <si>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</si>
  <si>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</si>
  <si>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</si>
  <si>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</si>
  <si>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</si>
  <si>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</si>
  <si>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</si>
  <si>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</si>
  <si>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</si>
  <si>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</si>
  <si>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</si>
  <si>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</si>
  <si>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</si>
  <si>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</si>
  <si>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</si>
  <si>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</si>
  <si>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</si>
  <si>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</si>
  <si>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</si>
  <si>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</si>
  <si>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</si>
  <si>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</si>
  <si>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</si>
  <si>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</si>
  <si>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</si>
  <si>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</si>
  <si>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</si>
  <si>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</si>
  <si>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</si>
  <si>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</si>
  <si>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</si>
  <si>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</si>
  <si>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</si>
  <si>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</si>
  <si>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</si>
  <si>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</si>
  <si>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</si>
  <si>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</si>
  <si>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</si>
  <si>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</si>
  <si>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</si>
  <si>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</si>
  <si>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</si>
  <si>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</si>
  <si>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</si>
  <si>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</si>
  <si>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</si>
  <si>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</si>
  <si>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</si>
  <si>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</si>
  <si>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</si>
  <si>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</si>
  <si>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</si>
  <si>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</si>
  <si>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</si>
  <si>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</si>
  <si>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</si>
  <si>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</si>
  <si>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</si>
  <si>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</si>
  <si>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</si>
  <si>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</si>
  <si>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</si>
  <si>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</si>
  <si>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</si>
  <si>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</si>
  <si>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</si>
  <si>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</si>
  <si>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</si>
  <si>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</si>
  <si>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</si>
  <si>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</si>
  <si>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</si>
  <si>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</si>
  <si>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</si>
  <si>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</si>
  <si>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</si>
  <si>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</si>
  <si>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</si>
  <si>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</si>
  <si>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</si>
  <si>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</si>
  <si>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</si>
  <si>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</si>
  <si>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</si>
  <si>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</si>
  <si>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</si>
  <si>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</si>
  <si>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</si>
  <si>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</si>
  <si>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</si>
  <si>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</si>
  <si>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</si>
  <si>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</si>
  <si>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</si>
  <si>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</si>
  <si>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</si>
  <si>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</si>
  <si>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</si>
  <si>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</si>
  <si>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</si>
  <si>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</si>
  <si>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</si>
  <si>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</si>
  <si>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</si>
  <si>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</si>
  <si>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</si>
  <si>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</si>
  <si>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</si>
  <si>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</si>
  <si>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</si>
  <si>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</si>
  <si>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</si>
  <si>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</si>
  <si>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</si>
  <si>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</si>
  <si>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</si>
  <si>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</si>
  <si>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</si>
  <si>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</si>
  <si>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</si>
  <si>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</si>
  <si>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</si>
  <si>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</si>
  <si>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</si>
  <si>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</si>
  <si>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</si>
  <si>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</si>
  <si>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</si>
  <si>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</si>
  <si>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</si>
  <si>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</si>
  <si>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</si>
  <si>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</si>
  <si>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</si>
  <si>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</si>
  <si>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</si>
  <si>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</si>
  <si>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</si>
  <si>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</si>
  <si>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</si>
  <si>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</si>
  <si>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</si>
  <si>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</si>
  <si>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</si>
  <si>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</si>
  <si>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</si>
  <si>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</si>
  <si>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</si>
  <si>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</si>
  <si>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</si>
  <si>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</si>
  <si>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</si>
  <si>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</si>
  <si>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</si>
  <si>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</si>
  <si>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</si>
  <si>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</si>
  <si>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</si>
  <si>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</si>
  <si>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</si>
  <si>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</si>
  <si>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</si>
  <si>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</si>
  <si>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</si>
  <si>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</si>
  <si>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</si>
  <si>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</si>
  <si>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</si>
  <si>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</si>
  <si>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</si>
  <si>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</si>
  <si>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</si>
  <si>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</si>
  <si>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</si>
  <si>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</si>
  <si>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</si>
  <si>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</si>
  <si>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</si>
  <si>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</si>
  <si>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</si>
  <si>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</si>
  <si>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</si>
  <si>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</si>
  <si>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</si>
  <si>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</si>
  <si>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</si>
  <si>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</si>
  <si>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</si>
  <si>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</si>
  <si>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</si>
  <si>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</si>
  <si>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</si>
  <si>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</si>
  <si>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</si>
  <si>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</si>
  <si>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</si>
  <si>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</si>
  <si>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</si>
  <si>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</si>
  <si>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</si>
  <si>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</si>
  <si>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</si>
  <si>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</si>
  <si>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</si>
  <si>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</si>
  <si>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</si>
  <si>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</si>
  <si>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</si>
  <si>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</si>
  <si>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</si>
  <si>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</si>
  <si>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</si>
  <si>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</si>
  <si>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</si>
  <si>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</si>
  <si>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</si>
  <si>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</si>
  <si>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</si>
  <si>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</si>
  <si>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</si>
  <si>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</si>
  <si>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</si>
  <si>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</si>
  <si>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</si>
  <si>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</si>
  <si>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</si>
  <si>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</si>
  <si>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</si>
  <si>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</si>
  <si>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</si>
  <si>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</si>
  <si>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</si>
  <si>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</si>
  <si>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</si>
  <si>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</si>
  <si>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</si>
  <si>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</si>
  <si>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</si>
  <si>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</si>
  <si>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</si>
  <si>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</si>
  <si>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</si>
  <si>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</si>
  <si>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</si>
  <si>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</si>
  <si>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</si>
  <si>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</si>
  <si>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</si>
  <si>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</si>
  <si>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</si>
  <si>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</si>
  <si>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</si>
  <si>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</si>
  <si>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</si>
  <si>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</si>
  <si>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</si>
  <si>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</si>
  <si>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</si>
  <si>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</si>
  <si>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</si>
  <si>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</si>
  <si>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</si>
  <si>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</si>
  <si>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</si>
  <si>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</si>
  <si>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</si>
  <si>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</si>
  <si>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</si>
  <si>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</si>
  <si>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</si>
  <si>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</si>
  <si>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</si>
  <si>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</si>
  <si>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</si>
  <si>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</si>
  <si>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</si>
  <si>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</si>
  <si>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</si>
  <si>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</si>
  <si>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</si>
  <si>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</si>
  <si>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</si>
  <si>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</si>
  <si>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</si>
  <si>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</si>
  <si>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</si>
  <si>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</si>
  <si>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</si>
  <si>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</si>
  <si>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</si>
  <si>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</si>
  <si>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</si>
  <si>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</si>
  <si>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</si>
  <si>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</si>
  <si>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</si>
  <si>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</si>
  <si>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</si>
  <si>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</si>
  <si>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</si>
  <si>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</si>
  <si>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</si>
  <si>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</si>
  <si>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</si>
  <si>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</si>
  <si>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</si>
  <si>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</si>
  <si>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</si>
  <si>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</si>
  <si>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</si>
  <si>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</si>
  <si>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</si>
  <si>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</si>
  <si>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</si>
  <si>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</si>
  <si>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</si>
  <si>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</si>
  <si>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</si>
  <si>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</si>
  <si>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</si>
  <si>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</si>
  <si>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</si>
  <si>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</si>
  <si>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</si>
  <si>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</si>
  <si>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</si>
  <si>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</si>
  <si>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</si>
  <si>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</si>
  <si>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</si>
  <si>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</si>
  <si>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</si>
  <si>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</si>
  <si>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</si>
  <si>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</si>
  <si>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</si>
  <si>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</si>
  <si>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</si>
  <si>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</si>
  <si>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</si>
  <si>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</si>
  <si>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</si>
  <si>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</si>
  <si>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</si>
  <si>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</si>
  <si>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</si>
  <si>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</si>
  <si>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</si>
  <si>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</si>
  <si>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</si>
  <si>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</si>
  <si>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</si>
  <si>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</si>
  <si>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</si>
  <si>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</si>
  <si>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</si>
  <si>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</si>
  <si>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</si>
  <si>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</si>
  <si>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</si>
  <si>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</si>
  <si>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</si>
  <si>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</si>
  <si>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</si>
  <si>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</si>
  <si>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</si>
  <si>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</si>
  <si>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</si>
  <si>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</si>
  <si>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</si>
  <si>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</si>
  <si>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</si>
  <si>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</si>
  <si>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</si>
  <si>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</si>
  <si>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</si>
  <si>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</si>
  <si>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</si>
  <si>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</si>
  <si>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</si>
  <si>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</si>
  <si>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</si>
  <si>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</si>
  <si>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</si>
  <si>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</si>
  <si>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</si>
  <si>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</si>
  <si>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</si>
  <si>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</si>
  <si>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</si>
  <si>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</si>
  <si>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</si>
  <si>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</si>
  <si>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</si>
  <si>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</si>
  <si>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</si>
  <si>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</si>
  <si>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</si>
  <si>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</si>
  <si>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</si>
  <si>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</si>
  <si>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</si>
  <si>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</si>
  <si>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</si>
  <si>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</si>
  <si>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</si>
  <si>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</si>
  <si>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</si>
  <si>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</si>
  <si>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</si>
  <si>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</si>
  <si>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</si>
  <si>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</si>
  <si>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</si>
  <si>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</si>
  <si>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</si>
  <si>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</si>
  <si>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</si>
  <si>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</si>
  <si>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</si>
  <si>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</si>
  <si>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</si>
  <si>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</si>
  <si>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</si>
  <si>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</si>
  <si>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</si>
  <si>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</si>
  <si>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</si>
  <si>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</si>
  <si>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</si>
  <si>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</si>
  <si>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</si>
  <si>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</si>
  <si>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</si>
  <si>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</si>
  <si>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</si>
  <si>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</si>
  <si>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</si>
  <si>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</si>
  <si>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</si>
  <si>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</si>
  <si>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</si>
  <si>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</si>
  <si>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</si>
  <si>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</si>
  <si>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</si>
  <si>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</si>
  <si>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</si>
  <si>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</si>
  <si>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</si>
  <si>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</si>
  <si>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</si>
  <si>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</si>
  <si>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</si>
  <si>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</si>
  <si>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</si>
  <si>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</si>
  <si>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</si>
  <si>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</si>
  <si>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</si>
  <si>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</si>
  <si>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</si>
  <si>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</si>
  <si>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</si>
  <si>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</si>
  <si>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</si>
  <si>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</si>
  <si>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</si>
  <si>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</si>
  <si>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</si>
  <si>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</si>
  <si>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</si>
  <si>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</si>
  <si>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</si>
  <si>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</si>
  <si>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</si>
  <si>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</si>
  <si>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</si>
  <si>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</si>
  <si>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</si>
  <si>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</si>
  <si>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</si>
  <si>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</si>
  <si>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</si>
  <si>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</si>
  <si>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</si>
  <si>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</si>
  <si>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</si>
  <si>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</si>
  <si>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</si>
  <si>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</si>
  <si>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</si>
  <si>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</si>
  <si>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</si>
  <si>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</si>
  <si>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</si>
  <si>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</si>
  <si>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</si>
  <si>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</si>
  <si>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</si>
  <si>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</si>
  <si>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</si>
  <si>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</si>
  <si>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</si>
  <si>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</si>
  <si>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</si>
  <si>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</si>
  <si>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</si>
  <si>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</si>
  <si>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</si>
  <si>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</si>
  <si>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</si>
  <si>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</si>
  <si>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</si>
  <si>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</si>
  <si>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</si>
  <si>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</si>
  <si>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</si>
  <si>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</si>
  <si>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</si>
  <si>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</si>
  <si>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</si>
  <si>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</si>
  <si>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</si>
  <si>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</si>
  <si>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</si>
  <si>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</si>
  <si>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</si>
  <si>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</si>
  <si>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</si>
  <si>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</si>
  <si>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</si>
  <si>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</si>
  <si>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</si>
  <si>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</si>
  <si>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</si>
  <si>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</si>
  <si>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</si>
  <si>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</si>
  <si>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</si>
  <si>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</si>
  <si>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</si>
  <si>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</si>
  <si>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</si>
  <si>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</si>
  <si>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</si>
  <si>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</si>
  <si>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</si>
  <si>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</si>
  <si>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</si>
  <si>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</si>
  <si>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</si>
  <si>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</si>
  <si>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</si>
  <si>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</si>
  <si>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</si>
  <si>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</si>
  <si>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</si>
  <si>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</si>
  <si>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</si>
  <si>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</si>
  <si>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</si>
  <si>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</si>
  <si>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</si>
  <si>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</si>
  <si>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</si>
  <si>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</si>
  <si>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</si>
  <si>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</si>
  <si>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</si>
  <si>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</si>
  <si>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</si>
  <si>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</si>
  <si>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</si>
  <si>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</si>
  <si>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</si>
  <si>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</si>
  <si>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</si>
  <si>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</si>
  <si>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</si>
  <si>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</si>
  <si>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</si>
  <si>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</si>
  <si>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</si>
  <si>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</si>
  <si>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</si>
  <si>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</si>
  <si>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</si>
  <si>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</si>
  <si>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</si>
  <si>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</si>
  <si>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</si>
  <si>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</si>
  <si>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</si>
  <si>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</si>
  <si>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</si>
  <si>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</si>
  <si>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</si>
  <si>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</si>
  <si>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</si>
  <si>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</si>
  <si>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</si>
  <si>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</si>
  <si>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</si>
  <si>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</si>
  <si>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</si>
  <si>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</si>
  <si>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</si>
  <si>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</si>
  <si>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</si>
  <si>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</si>
  <si>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</si>
  <si>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</si>
  <si>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</si>
  <si>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</si>
  <si>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</si>
  <si>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</si>
  <si>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</si>
  <si>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</si>
  <si>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</si>
  <si>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</si>
  <si>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</si>
  <si>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</si>
  <si>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</si>
  <si>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</si>
  <si>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</si>
  <si>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</si>
  <si>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</si>
  <si>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</si>
  <si>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</si>
  <si>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</si>
  <si>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</si>
  <si>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</si>
  <si>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</si>
  <si>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</si>
  <si>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</si>
  <si>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</si>
  <si>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</si>
  <si>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</si>
  <si>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</si>
  <si>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</si>
  <si>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</si>
  <si>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</si>
  <si>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</si>
  <si>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</si>
  <si>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</si>
  <si>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</si>
  <si>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</si>
  <si>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</si>
  <si>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</si>
  <si>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</si>
  <si>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</si>
  <si>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</si>
  <si>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</si>
  <si>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</si>
  <si>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</si>
  <si>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</si>
  <si>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</si>
  <si>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</si>
  <si>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</si>
  <si>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</si>
  <si>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</si>
  <si>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</si>
  <si>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</si>
  <si>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</si>
  <si>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</si>
  <si>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</si>
  <si>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</si>
  <si>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</si>
  <si>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</si>
  <si>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</si>
  <si>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</si>
  <si>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</si>
  <si>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</si>
  <si>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</si>
  <si>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</si>
  <si>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</si>
  <si>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</si>
  <si>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</si>
  <si>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</si>
  <si>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</si>
  <si>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</si>
  <si>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</si>
  <si>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</si>
  <si>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</si>
  <si>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</si>
  <si>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</si>
  <si>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</si>
  <si>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</si>
  <si>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</si>
  <si>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</si>
  <si>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</si>
  <si>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</si>
  <si>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</si>
  <si>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</si>
  <si>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</si>
  <si>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</si>
  <si>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</si>
  <si>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</si>
  <si>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</si>
  <si>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</si>
  <si>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</si>
  <si>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</si>
  <si>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</si>
  <si>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</si>
  <si>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</si>
  <si>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</si>
  <si>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</si>
  <si>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</si>
  <si>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</si>
  <si>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</si>
  <si>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</si>
  <si>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</si>
  <si>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</si>
  <si>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</si>
  <si>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</si>
  <si>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</si>
  <si>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</si>
  <si>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</si>
  <si>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</si>
  <si>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</si>
  <si>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</si>
  <si>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</si>
  <si>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</si>
  <si>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</si>
  <si>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</si>
  <si>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</si>
  <si>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</si>
  <si>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</si>
  <si>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</si>
  <si>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</si>
  <si>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</si>
  <si>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</si>
  <si>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</si>
  <si>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</si>
  <si>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</si>
  <si>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</si>
  <si>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</si>
  <si>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</si>
  <si>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</si>
  <si>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</si>
  <si>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</si>
  <si>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</si>
  <si>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</si>
  <si>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</si>
  <si>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</si>
  <si>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</si>
  <si>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</si>
  <si>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</si>
  <si>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</si>
  <si>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</si>
  <si>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</si>
  <si>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</si>
  <si>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</si>
  <si>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</si>
  <si>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</si>
  <si>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</si>
  <si>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</si>
  <si>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</si>
  <si>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</si>
  <si>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</si>
  <si>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</si>
  <si>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</si>
  <si>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</si>
  <si>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</si>
  <si>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</si>
  <si>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</si>
  <si>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</si>
  <si>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</si>
  <si>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</si>
  <si>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</si>
  <si>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</si>
  <si>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</si>
  <si>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</si>
  <si>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</si>
  <si>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</si>
  <si>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</si>
  <si>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</si>
  <si>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</si>
  <si>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</si>
  <si>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</si>
  <si>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</si>
  <si>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</si>
  <si>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</si>
  <si>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</si>
  <si>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</si>
  <si>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</si>
  <si>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</si>
  <si>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</si>
  <si>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</si>
  <si>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</si>
  <si>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</si>
  <si>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</si>
  <si>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</si>
  <si>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</si>
  <si>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</si>
  <si>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</si>
  <si>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</si>
  <si>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</si>
  <si>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</si>
  <si>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</si>
  <si>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</si>
  <si>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</si>
  <si>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</si>
  <si>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</si>
  <si>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</si>
  <si>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</si>
  <si>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</si>
  <si>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</si>
  <si>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</si>
  <si>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</si>
  <si>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</si>
  <si>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</si>
  <si>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</si>
  <si>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</si>
  <si>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</si>
  <si>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</si>
  <si>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</si>
  <si>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</si>
  <si>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</si>
  <si>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</si>
  <si>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</si>
  <si>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</si>
  <si>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</si>
  <si>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</si>
  <si>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</si>
  <si>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</si>
  <si>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</si>
  <si>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</si>
  <si>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</si>
  <si>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</si>
  <si>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</si>
  <si>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</si>
  <si>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</si>
  <si>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</si>
  <si>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</si>
  <si>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</si>
  <si>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</si>
  <si>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</si>
  <si>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</si>
  <si>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</si>
  <si>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</si>
  <si>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</si>
  <si>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</si>
  <si>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</si>
  <si>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</si>
  <si>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</si>
  <si>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</si>
  <si>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</si>
  <si>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</si>
  <si>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</si>
  <si>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</si>
  <si>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</si>
  <si>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</si>
  <si>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</si>
  <si>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</si>
  <si>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</si>
  <si>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</si>
  <si>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</si>
  <si>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</si>
  <si>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</si>
  <si>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</si>
  <si>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</si>
  <si>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</si>
  <si>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</si>
  <si>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</si>
  <si>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</si>
  <si>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</si>
  <si>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</si>
  <si>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</si>
  <si>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</si>
  <si>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</si>
  <si>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</si>
  <si>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</si>
  <si>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</si>
  <si>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</si>
  <si>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</si>
  <si>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</si>
  <si>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</si>
  <si>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</si>
  <si>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</si>
  <si>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</si>
  <si>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</si>
  <si>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</si>
  <si>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</si>
  <si>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</si>
  <si>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</si>
  <si>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</si>
  <si>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</si>
  <si>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</si>
  <si>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</si>
  <si>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</si>
  <si>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</si>
  <si>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</si>
  <si>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</si>
  <si>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</si>
  <si>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</si>
  <si>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</si>
  <si>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</si>
  <si>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</si>
  <si>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</si>
  <si>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</si>
  <si>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</si>
  <si>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</si>
  <si>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</si>
  <si>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</si>
  <si>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</si>
  <si>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</si>
  <si>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</si>
  <si>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</si>
  <si>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</si>
  <si>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</si>
  <si>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</si>
  <si>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</si>
  <si>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</si>
  <si>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</si>
  <si>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</si>
  <si>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</si>
  <si>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</si>
  <si>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</si>
  <si>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</si>
  <si>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</si>
  <si>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</si>
  <si>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</si>
  <si>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</si>
  <si>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</si>
  <si>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</si>
  <si>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</si>
  <si>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</si>
  <si>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</si>
  <si>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</si>
  <si>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</si>
  <si>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</si>
  <si>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</si>
  <si>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</si>
  <si>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</si>
  <si>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</si>
  <si>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</si>
  <si>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</si>
  <si>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</si>
  <si>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</si>
  <si>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</si>
  <si>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</si>
  <si>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</si>
  <si>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</si>
  <si>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</si>
  <si>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</si>
  <si>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</si>
  <si>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</si>
  <si>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</si>
  <si>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</si>
  <si>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</si>
  <si>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</si>
  <si>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</si>
  <si>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</si>
  <si>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</si>
  <si>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</si>
  <si>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</si>
  <si>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</si>
  <si>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</si>
  <si>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</si>
  <si>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</si>
  <si>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</si>
  <si>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</si>
  <si>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</si>
  <si>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</si>
  <si>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</si>
  <si>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</si>
  <si>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</si>
  <si>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</si>
  <si>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</si>
  <si>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</si>
  <si>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</si>
  <si>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</si>
  <si>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</si>
  <si>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</si>
  <si>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</si>
  <si>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</si>
  <si>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</si>
  <si>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</si>
  <si>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</si>
  <si>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</si>
  <si>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</si>
  <si>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</si>
  <si>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</si>
  <si>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</si>
  <si>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</si>
  <si>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</si>
  <si>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</si>
  <si>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</si>
  <si>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</si>
  <si>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</si>
  <si>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</si>
  <si>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</si>
  <si>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</si>
  <si>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</si>
  <si>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</si>
  <si>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</si>
  <si>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</si>
  <si>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</si>
  <si>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</si>
  <si>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</si>
  <si>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</si>
  <si>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</si>
  <si>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</si>
  <si>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</si>
  <si>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</si>
  <si>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</si>
  <si>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</si>
  <si>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</si>
  <si>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</si>
  <si>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</si>
  <si>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</si>
  <si>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</si>
  <si>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</si>
  <si>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</si>
  <si>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</si>
  <si>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</si>
  <si>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</si>
  <si>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</si>
  <si>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</si>
  <si>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</si>
  <si>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</si>
  <si>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</si>
  <si>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</si>
  <si>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</si>
  <si>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</si>
  <si>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</si>
  <si>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</si>
  <si>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</si>
  <si>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</si>
  <si>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</si>
  <si>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</si>
  <si>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</si>
  <si>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</si>
  <si>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</si>
  <si>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</si>
  <si>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</si>
  <si>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</si>
  <si>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</si>
  <si>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</si>
  <si>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</si>
  <si>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</si>
  <si>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</si>
  <si>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</si>
  <si>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</si>
  <si>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</si>
  <si>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</si>
  <si>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</si>
  <si>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</si>
  <si>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</si>
  <si>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</si>
  <si>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</si>
  <si>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</si>
  <si>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</si>
  <si>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</si>
  <si>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</si>
  <si>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</si>
  <si>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</si>
  <si>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</si>
  <si>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</si>
  <si>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</si>
  <si>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</si>
  <si>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</si>
  <si>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</si>
  <si>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</si>
  <si>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</si>
  <si>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</si>
  <si>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</si>
  <si>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</si>
  <si>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</si>
  <si>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</si>
  <si>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</si>
  <si>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</si>
  <si>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</si>
  <si>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</si>
  <si>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</si>
  <si>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</si>
  <si>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</si>
  <si>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</si>
  <si>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</si>
  <si>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</si>
  <si>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</si>
  <si>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</si>
  <si>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</si>
  <si>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</si>
  <si>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</si>
  <si>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</si>
  <si>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</si>
  <si>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</si>
  <si>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</si>
  <si>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</si>
  <si>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</si>
  <si>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</si>
  <si>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</si>
  <si>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</si>
  <si>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</si>
  <si>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</si>
  <si>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</si>
  <si>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</si>
  <si>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</si>
  <si>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</si>
  <si>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</si>
  <si>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</si>
  <si>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</si>
  <si>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</si>
  <si>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</si>
  <si>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</si>
  <si>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</si>
  <si>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</si>
  <si>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</si>
  <si>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</si>
  <si>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</si>
  <si>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</si>
  <si>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</si>
  <si>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</si>
  <si>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</si>
  <si>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</si>
  <si>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</si>
  <si>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</si>
  <si>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</si>
  <si>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</si>
  <si>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</si>
  <si>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</si>
  <si>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</si>
  <si>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</si>
  <si>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</si>
  <si>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</si>
  <si>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</si>
  <si>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</si>
  <si>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</si>
  <si>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</si>
  <si>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</si>
  <si>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</si>
  <si>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</si>
  <si>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</si>
  <si>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</si>
  <si>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</si>
  <si>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</si>
  <si>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</si>
  <si>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</si>
  <si>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</si>
  <si>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</si>
  <si>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</si>
  <si>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</si>
  <si>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</si>
  <si>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</si>
  <si>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</si>
  <si>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</si>
  <si>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</si>
  <si>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</si>
  <si>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</si>
  <si>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</si>
  <si>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</si>
  <si>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</si>
  <si>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</si>
  <si>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</si>
  <si>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</si>
  <si>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</si>
  <si>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</si>
  <si>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</si>
  <si>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</si>
  <si>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</si>
  <si>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</si>
  <si>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</si>
  <si>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</si>
  <si>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</si>
  <si>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</si>
  <si>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</si>
  <si>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</si>
  <si>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</si>
  <si>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</si>
  <si>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</si>
  <si>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</si>
  <si>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</si>
  <si>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</si>
  <si>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</si>
  <si>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</si>
  <si>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</si>
  <si>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</si>
  <si>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</si>
  <si>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</si>
  <si>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</si>
  <si>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</si>
  <si>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</si>
  <si>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</si>
  <si>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</si>
  <si>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</si>
  <si>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</si>
  <si>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</si>
  <si>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</si>
  <si>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</si>
  <si>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</si>
  <si>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</si>
  <si>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</si>
  <si>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</si>
  <si>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</si>
  <si>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</si>
  <si>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</si>
  <si>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</si>
  <si>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</si>
  <si>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</si>
  <si>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</si>
  <si>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</si>
  <si>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</si>
  <si>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</si>
  <si>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</si>
  <si>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</si>
  <si>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</si>
  <si>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</si>
  <si>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</si>
  <si>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</si>
  <si>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</si>
  <si>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</si>
  <si>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</si>
  <si>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</si>
  <si>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</si>
  <si>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</si>
  <si>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</si>
  <si>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</si>
  <si>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</si>
  <si>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</si>
  <si>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</si>
  <si>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</si>
  <si>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</si>
  <si>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</si>
  <si>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</si>
  <si>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</si>
  <si>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</si>
  <si>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</si>
  <si>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</si>
  <si>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</si>
  <si>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</si>
  <si>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</si>
  <si>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</si>
  <si>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</si>
  <si>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</si>
  <si>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</si>
  <si>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</si>
  <si>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</si>
  <si>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</si>
  <si>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</si>
  <si>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</si>
  <si>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</si>
  <si>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</si>
  <si>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</si>
  <si>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</si>
  <si>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</si>
  <si>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</si>
  <si>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</si>
  <si>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</si>
  <si>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</si>
  <si>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</si>
  <si>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</si>
  <si>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</si>
  <si>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</si>
  <si>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</si>
  <si>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</si>
  <si>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</si>
  <si>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</si>
  <si>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</si>
  <si>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</si>
  <si>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</si>
  <si>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</si>
  <si>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</si>
  <si>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</si>
  <si>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</si>
  <si>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</si>
  <si>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</si>
  <si>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</si>
  <si>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</si>
  <si>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</si>
  <si>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</si>
  <si>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</si>
  <si>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</si>
  <si>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</si>
  <si>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</si>
  <si>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</si>
  <si>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</si>
  <si>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</si>
  <si>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</si>
  <si>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</si>
  <si>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</si>
  <si>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</si>
  <si>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</si>
  <si>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</si>
  <si>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</si>
  <si>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</si>
  <si>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</si>
  <si>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</si>
  <si>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</si>
  <si>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</si>
  <si>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</si>
  <si>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</si>
  <si>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</si>
  <si>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</si>
  <si>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</si>
  <si>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</si>
  <si>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</si>
  <si>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</si>
  <si>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</si>
  <si>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</si>
  <si>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</si>
  <si>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</si>
  <si>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</si>
  <si>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</si>
  <si>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</si>
  <si>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</si>
  <si>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</si>
  <si>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</si>
  <si>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</si>
  <si>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</si>
  <si>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</si>
  <si>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</si>
  <si>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</si>
  <si>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</si>
  <si>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</si>
  <si>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</si>
  <si>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</si>
  <si>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</si>
  <si>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</si>
  <si>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</si>
  <si>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</si>
  <si>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</si>
  <si>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</si>
  <si>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</si>
  <si>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</si>
  <si>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</si>
  <si>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</si>
  <si>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</si>
  <si>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</si>
  <si>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</si>
  <si>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</si>
  <si>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</si>
  <si>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</si>
  <si>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</si>
  <si>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</si>
  <si>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</si>
  <si>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</si>
  <si>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</si>
  <si>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</si>
  <si>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</si>
  <si>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</si>
  <si>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</si>
  <si>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</si>
  <si>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</si>
  <si>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</si>
  <si>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</si>
  <si>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</si>
  <si>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</si>
  <si>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</si>
  <si>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</si>
  <si>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</si>
  <si>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</si>
  <si>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</si>
  <si>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</si>
  <si>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</si>
  <si>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</si>
  <si>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</si>
  <si>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</si>
  <si>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</si>
  <si>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</si>
  <si>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</si>
  <si>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</si>
  <si>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</si>
  <si>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</si>
  <si>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</si>
  <si>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</si>
  <si>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</si>
  <si>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</si>
  <si>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</si>
  <si>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</si>
  <si>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</si>
  <si>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</si>
  <si>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</si>
  <si>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</si>
  <si>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</si>
  <si>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</si>
  <si>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</si>
  <si>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</si>
  <si>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</si>
  <si>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</si>
  <si>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</si>
  <si>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</si>
  <si>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</si>
  <si>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</si>
  <si>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</si>
  <si>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</si>
  <si>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</si>
  <si>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</si>
  <si>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</si>
  <si>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</si>
  <si>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</si>
  <si>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</si>
  <si>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</si>
  <si>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</si>
  <si>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</si>
  <si>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</si>
  <si>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</si>
  <si>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</si>
  <si>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</si>
  <si>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</si>
  <si>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</si>
  <si>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</si>
  <si>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</si>
  <si>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</si>
  <si>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</si>
  <si>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</si>
  <si>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</si>
  <si>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</si>
  <si>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</si>
  <si>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</si>
  <si>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</si>
  <si>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</si>
  <si>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</si>
  <si>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</si>
  <si>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</si>
  <si>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</si>
  <si>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</si>
  <si>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</si>
  <si>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</si>
  <si>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</si>
  <si>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</si>
  <si>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</si>
  <si>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</si>
  <si>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</si>
  <si>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</si>
  <si>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</si>
  <si>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</si>
  <si>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</si>
  <si>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</si>
  <si>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</si>
  <si>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</si>
  <si>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</si>
  <si>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</si>
  <si>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</si>
  <si>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</si>
  <si>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</si>
  <si>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</si>
  <si>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</si>
  <si>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</si>
  <si>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</si>
  <si>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</si>
  <si>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</si>
  <si>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</si>
  <si>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</si>
  <si>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</si>
  <si>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</si>
  <si>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</si>
  <si>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</si>
  <si>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</si>
  <si>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</si>
  <si>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</si>
  <si>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</si>
  <si>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</si>
  <si>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</si>
  <si>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</si>
  <si>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</si>
  <si>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</si>
  <si>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</si>
  <si>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</si>
  <si>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</si>
  <si>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</si>
  <si>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</si>
  <si>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</si>
  <si>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</si>
  <si>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</si>
  <si>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</si>
  <si>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</si>
  <si>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</si>
  <si>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</si>
  <si>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</si>
  <si>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</si>
  <si>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</si>
  <si>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</si>
  <si>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</si>
  <si>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</si>
  <si>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</si>
  <si>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</si>
  <si>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</si>
  <si>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</si>
  <si>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</si>
  <si>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</si>
  <si>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</si>
  <si>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</si>
  <si>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</si>
  <si>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</si>
  <si>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</si>
  <si>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</si>
  <si>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</si>
  <si>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</si>
  <si>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</si>
  <si>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</si>
  <si>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</si>
  <si>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</si>
  <si>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</si>
  <si>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</si>
  <si>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</si>
  <si>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</si>
  <si>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</si>
  <si>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</si>
  <si>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</si>
  <si>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</si>
  <si>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</si>
  <si>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</si>
  <si>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</si>
  <si>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</si>
  <si>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</si>
  <si>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</si>
  <si>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</si>
  <si>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</si>
  <si>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</si>
  <si>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</si>
  <si>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</si>
  <si>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</si>
  <si>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</si>
  <si>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</si>
  <si>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</si>
  <si>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</si>
  <si>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</si>
  <si>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</si>
  <si>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</si>
  <si>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</si>
  <si>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</si>
  <si>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</si>
  <si>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</si>
  <si>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</si>
  <si>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</si>
  <si>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</si>
  <si>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</si>
  <si>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</si>
  <si>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</si>
  <si>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</si>
  <si>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</si>
  <si>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</si>
  <si>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</si>
  <si>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</si>
  <si>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</si>
  <si>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</si>
  <si>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</si>
  <si>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</si>
  <si>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</si>
  <si>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</si>
  <si>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</si>
  <si>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</si>
  <si>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</si>
  <si>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</si>
  <si>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</si>
  <si>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</si>
  <si>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</si>
  <si>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</si>
  <si>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</si>
  <si>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</si>
  <si>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</si>
  <si>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</si>
  <si>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</si>
  <si>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</si>
  <si>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</si>
  <si>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</si>
  <si>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</si>
  <si>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</si>
  <si>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</si>
  <si>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</si>
  <si>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</si>
  <si>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</si>
  <si>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</si>
  <si>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</si>
  <si>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</si>
  <si>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</si>
  <si>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</si>
  <si>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</si>
  <si>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</si>
  <si>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</si>
  <si>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</si>
  <si>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</si>
  <si>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</si>
  <si>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</si>
  <si>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</si>
  <si>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</si>
  <si>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</si>
  <si>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</si>
  <si>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</si>
  <si>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</si>
  <si>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</si>
  <si>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</si>
  <si>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</si>
  <si>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</si>
  <si>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</si>
  <si>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</si>
  <si>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</si>
  <si>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</si>
  <si>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</si>
  <si>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</si>
  <si>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</si>
  <si>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</si>
  <si>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</si>
  <si>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</si>
  <si>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</si>
  <si>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</si>
  <si>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</si>
  <si>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</si>
  <si>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</si>
  <si>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</si>
  <si>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</si>
  <si>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</si>
  <si>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</si>
  <si>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</si>
  <si>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</si>
  <si>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</si>
  <si>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</si>
  <si>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</si>
  <si>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</si>
  <si>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</si>
  <si>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</si>
  <si>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</si>
  <si>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</si>
  <si>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</si>
  <si>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</si>
  <si>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</si>
  <si>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</si>
  <si>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</si>
  <si>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</si>
  <si>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</si>
  <si>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</si>
  <si>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</si>
  <si>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</si>
  <si>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</si>
  <si>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</si>
  <si>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</si>
  <si>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</si>
  <si>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</si>
  <si>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</si>
  <si>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</si>
  <si>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</si>
  <si>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</si>
  <si>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</si>
  <si>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</si>
  <si>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</si>
  <si>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</si>
  <si>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</si>
  <si>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</si>
  <si>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</si>
  <si>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</si>
  <si>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</si>
  <si>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</si>
  <si>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</si>
  <si>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</si>
  <si>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</si>
  <si>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</si>
  <si>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</si>
  <si>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</si>
  <si>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</si>
  <si>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</si>
  <si>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</si>
  <si>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</si>
  <si>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</si>
  <si>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</si>
  <si>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</si>
  <si>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</si>
  <si>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</si>
  <si>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</si>
  <si>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</si>
  <si>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</si>
  <si>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</si>
  <si>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</si>
  <si>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</si>
  <si>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</si>
  <si>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</si>
  <si>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</si>
  <si>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</si>
  <si>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</si>
  <si>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</si>
  <si>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</si>
  <si>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</si>
  <si>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</si>
  <si>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</si>
  <si>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</si>
  <si>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</si>
  <si>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</si>
  <si>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</si>
  <si>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</si>
  <si>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</si>
  <si>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</si>
  <si>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</si>
  <si>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</si>
  <si>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</si>
  <si>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</si>
  <si>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</si>
  <si>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</si>
  <si>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</si>
  <si>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</si>
  <si>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</si>
  <si>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</si>
  <si>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</si>
  <si>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</si>
  <si>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</si>
  <si>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</si>
  <si>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</si>
  <si>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</si>
  <si>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</si>
  <si>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</si>
  <si>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</si>
  <si>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</si>
  <si>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</si>
  <si>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</si>
  <si>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</si>
  <si>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</si>
  <si>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</si>
  <si>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</si>
  <si>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</si>
  <si>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</si>
  <si>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</si>
  <si>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</si>
  <si>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</si>
  <si>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</si>
  <si>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</si>
  <si>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</si>
  <si>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</si>
  <si>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</si>
  <si>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</si>
  <si>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</si>
  <si>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</si>
  <si>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</si>
  <si>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</si>
  <si>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</si>
  <si>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</si>
  <si>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</si>
  <si>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</si>
  <si>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</si>
  <si>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</si>
  <si>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</si>
  <si>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</si>
  <si>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</si>
  <si>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</si>
  <si>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</si>
  <si>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</si>
  <si>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</si>
  <si>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</si>
  <si>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</si>
  <si>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</si>
  <si>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</si>
  <si>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</si>
  <si>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</si>
  <si>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</si>
  <si>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</si>
  <si>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</si>
  <si>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</si>
  <si>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</si>
  <si>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</si>
  <si>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</si>
  <si>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</si>
  <si>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</si>
  <si>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</si>
  <si>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</si>
  <si>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</si>
  <si>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</si>
  <si>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</si>
  <si>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</si>
  <si>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</si>
  <si>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</si>
  <si>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</si>
  <si>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</si>
  <si>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</si>
  <si>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</si>
  <si>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</si>
  <si>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</si>
  <si>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</si>
  <si>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</si>
  <si>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</si>
  <si>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</si>
  <si>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</si>
  <si>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</si>
  <si>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</si>
  <si>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</si>
  <si>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</si>
  <si>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</si>
  <si>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</si>
  <si>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</si>
  <si>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</si>
  <si>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</si>
  <si>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</si>
  <si>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</si>
  <si>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</si>
  <si>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</si>
  <si>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</si>
  <si>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</si>
  <si>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</si>
  <si>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</si>
  <si>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</si>
  <si>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</si>
  <si>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</si>
  <si>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</si>
  <si>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</si>
  <si>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</si>
  <si>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</si>
  <si>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</si>
  <si>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</si>
  <si>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</si>
  <si>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</si>
  <si>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</si>
  <si>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</si>
  <si>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</si>
  <si>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</si>
  <si>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</si>
  <si>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</si>
  <si>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</si>
  <si>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</si>
  <si>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</si>
  <si>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</si>
  <si>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</si>
  <si>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</si>
  <si>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</si>
  <si>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</si>
  <si>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</si>
  <si>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</si>
  <si>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</si>
  <si>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</si>
  <si>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</si>
  <si>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</si>
  <si>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</si>
  <si>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</si>
  <si>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</si>
  <si>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</si>
  <si>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</si>
  <si>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</si>
  <si>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</si>
  <si>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</si>
  <si>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</si>
  <si>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</si>
  <si>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</si>
  <si>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</si>
  <si>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</si>
  <si>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</si>
  <si>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</si>
  <si>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</si>
  <si>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</si>
  <si>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</si>
  <si>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</si>
  <si>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</si>
  <si>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</si>
  <si>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</si>
  <si>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</si>
  <si>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</si>
  <si>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</si>
  <si>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</si>
  <si>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</si>
  <si>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</si>
  <si>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</si>
  <si>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</si>
  <si>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</si>
  <si>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</si>
  <si>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</si>
  <si>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</si>
  <si>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</si>
  <si>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</si>
  <si>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</si>
  <si>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</si>
  <si>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</si>
  <si>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</si>
  <si>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</si>
  <si>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</si>
  <si>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</si>
  <si>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</si>
  <si>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</si>
  <si>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</si>
  <si>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</si>
  <si>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</si>
  <si>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</si>
  <si>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</si>
  <si>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</si>
  <si>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</si>
  <si>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</si>
  <si>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</si>
  <si>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</si>
  <si>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</si>
  <si>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</si>
  <si>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</si>
  <si>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</si>
  <si>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</si>
  <si>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</si>
  <si>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</si>
  <si>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</si>
  <si>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</si>
  <si>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</si>
  <si>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</si>
  <si>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</si>
  <si>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</si>
  <si>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</si>
  <si>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</si>
  <si>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</si>
  <si>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</si>
  <si>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</si>
  <si>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</si>
  <si>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</si>
  <si>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</si>
  <si>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</si>
  <si>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</si>
  <si>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</si>
  <si>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</si>
  <si>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</si>
  <si>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</si>
  <si>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</si>
  <si>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</si>
  <si>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</si>
  <si>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</si>
  <si>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</si>
  <si>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</si>
  <si>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</si>
  <si>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</si>
  <si>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</si>
  <si>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</si>
  <si>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</si>
  <si>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</si>
  <si>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</si>
  <si>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</si>
  <si>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</si>
  <si>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</si>
  <si>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</si>
  <si>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</si>
  <si>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</si>
  <si>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</si>
  <si>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</si>
  <si>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</si>
  <si>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</si>
  <si>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</si>
  <si>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</si>
  <si>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</si>
  <si>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</si>
  <si>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</si>
  <si>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</si>
  <si>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</si>
  <si>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</si>
  <si>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</si>
  <si>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</si>
  <si>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</si>
  <si>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</si>
  <si>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</si>
  <si>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</si>
  <si>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</si>
  <si>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</si>
  <si>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</si>
  <si>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</si>
  <si>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</si>
  <si>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</si>
  <si>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</si>
  <si>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</si>
  <si>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</si>
  <si>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</si>
  <si>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</si>
  <si>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</si>
  <si>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</si>
  <si>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</si>
  <si>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</si>
  <si>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</si>
  <si>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</si>
  <si>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</si>
  <si>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</si>
  <si>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</si>
  <si>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</si>
  <si>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</si>
  <si>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</si>
  <si>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</si>
  <si>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</si>
  <si>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</si>
  <si>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</si>
  <si>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</si>
  <si>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</si>
  <si>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</si>
  <si>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</si>
  <si>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</si>
  <si>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</si>
  <si>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</si>
  <si>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</si>
  <si>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</si>
  <si>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</si>
  <si>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</si>
  <si>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</si>
  <si>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</si>
  <si>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</si>
  <si>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</si>
  <si>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</si>
  <si>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</si>
  <si>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</si>
  <si>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</si>
  <si>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</si>
  <si>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</si>
  <si>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</si>
  <si>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</si>
  <si>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</si>
  <si>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</si>
  <si>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</si>
  <si>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</si>
  <si>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</si>
  <si>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</si>
  <si>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</si>
  <si>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</si>
  <si>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</si>
  <si>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</si>
  <si>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</si>
  <si>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</si>
  <si>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</si>
  <si>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</si>
  <si>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</si>
  <si>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</si>
  <si>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</si>
  <si>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</si>
  <si>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</si>
  <si>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</si>
  <si>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</si>
  <si>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</si>
  <si>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</si>
  <si>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</si>
  <si>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</si>
  <si>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</si>
  <si>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</si>
  <si>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</si>
  <si>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</si>
  <si>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</si>
  <si>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</si>
  <si>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</si>
  <si>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</si>
  <si>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</si>
  <si>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</si>
  <si>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</si>
  <si>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</si>
  <si>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</si>
  <si>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</si>
  <si>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</si>
  <si>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</si>
  <si>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</si>
  <si>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</si>
  <si>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</si>
  <si>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</si>
  <si>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</si>
  <si>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</si>
  <si>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</si>
  <si>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</si>
  <si>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</si>
  <si>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</si>
  <si>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</si>
  <si>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</si>
  <si>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</si>
  <si>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</si>
  <si>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</si>
  <si>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</si>
  <si>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</si>
  <si>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</si>
  <si>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</si>
  <si>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</si>
  <si>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</si>
  <si>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</si>
  <si>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</si>
  <si>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</si>
  <si>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</si>
  <si>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</si>
  <si>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</si>
  <si>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</si>
  <si>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</si>
  <si>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</si>
  <si>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</si>
  <si>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</si>
  <si>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</si>
  <si>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</si>
  <si>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</si>
  <si>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</si>
  <si>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</si>
  <si>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</si>
  <si>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</si>
  <si>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</si>
  <si>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</si>
  <si>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</si>
  <si>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</si>
  <si>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</si>
  <si>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</si>
  <si>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</si>
  <si>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</si>
  <si>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</si>
  <si>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</si>
  <si>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</si>
  <si>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</si>
  <si>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</si>
  <si>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</si>
  <si>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</si>
  <si>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</si>
  <si>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</si>
  <si>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</si>
  <si>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</si>
  <si>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</si>
  <si>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</si>
  <si>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</si>
  <si>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</si>
  <si>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</si>
  <si>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</si>
  <si>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</si>
  <si>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</si>
  <si>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</si>
  <si>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</si>
  <si>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</si>
  <si>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</si>
  <si>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</si>
  <si>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</si>
  <si>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</si>
  <si>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</si>
  <si>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</si>
  <si>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</si>
  <si>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</si>
  <si>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</si>
  <si>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</si>
  <si>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</si>
  <si>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</si>
  <si>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</si>
  <si>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</si>
  <si>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</si>
  <si>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</si>
  <si>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</si>
  <si>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</si>
  <si>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</si>
  <si>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</si>
  <si>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</si>
  <si>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</si>
  <si>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</si>
  <si>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</si>
  <si>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</si>
  <si>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</si>
  <si>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</si>
  <si>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</si>
  <si>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</si>
  <si>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</si>
  <si>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</si>
  <si>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</si>
  <si>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</si>
  <si>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</si>
  <si>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</si>
  <si>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</si>
  <si>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</si>
  <si>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</si>
  <si>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</si>
  <si>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</si>
  <si>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</si>
  <si>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</si>
  <si>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</si>
  <si>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</si>
  <si>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</si>
  <si>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</si>
  <si>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</si>
  <si>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</si>
  <si>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</si>
  <si>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</si>
  <si>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</si>
  <si>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</si>
  <si>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</si>
  <si>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</si>
  <si>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</si>
  <si>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</si>
  <si>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</si>
  <si>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</si>
  <si>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</si>
  <si>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</si>
  <si>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</si>
  <si>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</si>
  <si>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</si>
  <si>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</si>
  <si>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</si>
  <si>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</si>
  <si>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</si>
  <si>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</si>
  <si>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</si>
  <si>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</si>
  <si>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</si>
  <si>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</si>
  <si>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</si>
  <si>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</si>
  <si>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</si>
  <si>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</si>
  <si>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</si>
  <si>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</si>
  <si>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</si>
  <si>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</si>
  <si>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</si>
  <si>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</si>
  <si>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</si>
  <si>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</si>
  <si>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</si>
  <si>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</si>
  <si>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</si>
  <si>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</si>
  <si>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</si>
  <si>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</si>
  <si>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</si>
  <si>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</si>
  <si>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</si>
  <si>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</si>
  <si>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</si>
  <si>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</si>
  <si>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</si>
  <si>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</si>
  <si>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</si>
  <si>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</si>
  <si>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</si>
  <si>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</si>
  <si>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</si>
  <si>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</si>
  <si>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</si>
  <si>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</si>
  <si>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</si>
  <si>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</si>
  <si>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</si>
  <si>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</si>
  <si>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</si>
  <si>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</si>
  <si>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</si>
  <si>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</si>
  <si>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</si>
  <si>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</si>
  <si>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</si>
  <si>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</si>
  <si>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</si>
  <si>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</si>
  <si>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</si>
  <si>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</si>
  <si>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</si>
  <si>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</si>
  <si>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</si>
  <si>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</si>
  <si>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</si>
  <si>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</si>
  <si>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</si>
  <si>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</si>
  <si>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</si>
  <si>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</si>
  <si>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</si>
  <si>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</si>
  <si>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</si>
  <si>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</si>
  <si>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</si>
  <si>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</si>
  <si>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</si>
  <si>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</si>
  <si>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</si>
  <si>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</si>
  <si>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</si>
  <si>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</si>
  <si>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</si>
  <si>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</si>
  <si>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</si>
  <si>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</si>
  <si>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</si>
  <si>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</si>
  <si>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</si>
  <si>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</si>
  <si>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</si>
  <si>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</si>
  <si>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</si>
  <si>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</si>
  <si>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</si>
  <si>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</si>
  <si>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</si>
  <si>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</si>
  <si>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</si>
  <si>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</si>
  <si>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</si>
  <si>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</si>
  <si>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</si>
  <si>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</si>
  <si>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</si>
  <si>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</si>
  <si>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</si>
  <si>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</si>
  <si>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</si>
  <si>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</si>
  <si>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</si>
  <si>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</si>
  <si>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</si>
  <si>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</si>
  <si>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</si>
  <si>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</si>
  <si>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</si>
  <si>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</si>
  <si>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</si>
  <si>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</si>
  <si>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</si>
  <si>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</si>
  <si>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</si>
  <si>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</si>
  <si>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</si>
  <si>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</si>
  <si>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</si>
  <si>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</si>
  <si>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</si>
  <si>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</si>
  <si>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</si>
  <si>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</si>
  <si>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</si>
  <si>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</si>
  <si>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</si>
  <si>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</si>
  <si>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</si>
  <si>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</si>
  <si>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</si>
  <si>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</si>
  <si>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</si>
  <si>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</si>
  <si>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</si>
  <si>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</si>
  <si>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</si>
  <si>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</si>
  <si>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</si>
  <si>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</si>
  <si>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</si>
  <si>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</si>
  <si>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</si>
  <si>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</si>
  <si>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</si>
  <si>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</si>
  <si>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</si>
  <si>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</si>
  <si>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</si>
  <si>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</si>
  <si>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</si>
  <si>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</si>
  <si>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</si>
  <si>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</si>
  <si>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</si>
  <si>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</si>
  <si>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</si>
  <si>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</si>
  <si>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</si>
  <si>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</si>
  <si>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</si>
  <si>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</si>
  <si>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</si>
  <si>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</si>
  <si>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</si>
  <si>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</si>
  <si>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</si>
  <si>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</si>
  <si>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</si>
  <si>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</si>
  <si>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</si>
  <si>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</si>
  <si>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</si>
  <si>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</si>
  <si>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</si>
  <si>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</si>
  <si>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</si>
  <si>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</si>
  <si>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</si>
  <si>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</si>
  <si>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</si>
  <si>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</si>
  <si>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</si>
  <si>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</si>
  <si>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</si>
  <si>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</si>
  <si>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</si>
  <si>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</si>
  <si>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</si>
  <si>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</si>
  <si>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</si>
  <si>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</si>
  <si>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</si>
  <si>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</si>
  <si>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</si>
  <si>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</si>
  <si>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</si>
  <si>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</si>
  <si>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</si>
  <si>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</si>
  <si>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</si>
  <si>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</si>
  <si>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</si>
  <si>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</si>
  <si>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</si>
  <si>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</si>
  <si>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</si>
  <si>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</si>
  <si>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</si>
  <si>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</si>
  <si>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</si>
  <si>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</si>
  <si>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</si>
  <si>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</si>
  <si>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</si>
  <si>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</si>
  <si>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</si>
  <si>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</si>
  <si>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</si>
  <si>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</si>
  <si>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</si>
  <si>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</si>
  <si>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</si>
  <si>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</si>
  <si>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</si>
  <si>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</si>
  <si>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</si>
  <si>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</si>
  <si>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</si>
  <si>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</si>
  <si>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</si>
  <si>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</si>
  <si>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</si>
  <si>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</si>
  <si>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</si>
  <si>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</si>
  <si>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</si>
  <si>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</si>
  <si>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</si>
  <si>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</si>
  <si>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</si>
  <si>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</si>
  <si>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</si>
  <si>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</si>
  <si>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</si>
  <si>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</si>
  <si>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</si>
  <si>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</si>
  <si>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</si>
  <si>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</si>
  <si>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</si>
  <si>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</si>
  <si>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</si>
  <si>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</si>
  <si>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</si>
  <si>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</si>
  <si>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</si>
  <si>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</si>
  <si>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</si>
  <si>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</si>
  <si>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</si>
  <si>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</si>
  <si>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</si>
  <si>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</si>
  <si>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</si>
  <si>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</si>
  <si>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</si>
  <si>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</si>
  <si>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</si>
  <si>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</si>
  <si>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</si>
  <si>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</si>
  <si>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</si>
  <si>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</si>
  <si>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</si>
  <si>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</si>
  <si>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</si>
  <si>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</si>
  <si>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</si>
  <si>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</si>
  <si>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</si>
  <si>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</si>
  <si>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</si>
  <si>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</si>
  <si>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</si>
  <si>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</si>
  <si>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</si>
  <si>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</si>
  <si>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</si>
  <si>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</si>
  <si>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</si>
  <si>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</si>
  <si>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</si>
  <si>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</si>
  <si>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</si>
  <si>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</si>
  <si>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</si>
  <si>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</si>
  <si>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</si>
  <si>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</si>
  <si>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</si>
  <si>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</si>
  <si>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</si>
  <si>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</si>
  <si>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</si>
  <si>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</si>
  <si>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</si>
  <si>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</si>
  <si>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</si>
  <si>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</si>
  <si>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</si>
  <si>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</si>
  <si>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</si>
  <si>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</si>
  <si>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</si>
  <si>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</si>
  <si>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</si>
  <si>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</si>
  <si>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</si>
  <si>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</si>
  <si>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</si>
  <si>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</si>
  <si>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</si>
  <si>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</si>
  <si>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</si>
  <si>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</si>
  <si>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</si>
  <si>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</si>
  <si>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</si>
  <si>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</si>
  <si>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</si>
  <si>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</si>
  <si>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</si>
  <si>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</si>
  <si>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</si>
  <si>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</si>
  <si>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</si>
  <si>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</si>
  <si>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</si>
  <si>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</si>
  <si>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</si>
  <si>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</si>
  <si>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</si>
  <si>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</si>
  <si>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</si>
  <si>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</si>
  <si>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</si>
  <si>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</si>
  <si>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</si>
  <si>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</si>
  <si>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</si>
  <si>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</si>
  <si>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</si>
  <si>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</si>
  <si>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</si>
  <si>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</si>
  <si>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</si>
  <si>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</si>
  <si>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</si>
  <si>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</si>
  <si>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</si>
  <si>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</si>
  <si>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</si>
  <si>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</si>
  <si>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</si>
  <si>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</si>
  <si>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</si>
  <si>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</si>
  <si>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</si>
  <si>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</si>
  <si>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</si>
  <si>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</si>
  <si>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</si>
  <si>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</si>
  <si>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</si>
  <si>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</si>
  <si>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</si>
  <si>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</si>
  <si>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</si>
  <si>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</si>
  <si>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</si>
  <si>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</si>
  <si>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</si>
  <si>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</si>
  <si>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</si>
  <si>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</si>
  <si>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</si>
  <si>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</si>
  <si>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</si>
  <si>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</si>
  <si>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</si>
  <si>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</si>
  <si>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</si>
  <si>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</si>
  <si>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</si>
  <si>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</si>
  <si>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</si>
  <si>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</si>
  <si>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</si>
  <si>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</si>
  <si>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</si>
  <si>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</si>
  <si>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</si>
  <si>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</si>
  <si>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</si>
  <si>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</si>
  <si>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</si>
  <si>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</si>
  <si>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</si>
  <si>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</si>
  <si>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</si>
  <si>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</si>
  <si>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</si>
  <si>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</si>
  <si>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</si>
  <si>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</si>
  <si>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</si>
  <si>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</si>
  <si>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</si>
  <si>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</si>
  <si>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</si>
  <si>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</si>
  <si>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</si>
  <si>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</si>
  <si>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</si>
  <si>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</si>
  <si>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</si>
  <si>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</si>
  <si>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</si>
  <si>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</si>
  <si>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</si>
  <si>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</si>
  <si>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</si>
  <si>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</si>
  <si>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</si>
  <si>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</si>
  <si>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</si>
  <si>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</si>
  <si>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</si>
  <si>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</si>
  <si>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</si>
  <si>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</si>
  <si>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</si>
  <si>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</si>
  <si>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</si>
  <si>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</si>
  <si>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</si>
  <si>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</si>
  <si>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</si>
  <si>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</si>
  <si>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</si>
  <si>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</si>
  <si>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</si>
  <si>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</si>
  <si>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</si>
  <si>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</si>
  <si>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</si>
  <si>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</si>
  <si>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</si>
  <si>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</si>
  <si>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</si>
  <si>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</si>
  <si>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</si>
  <si>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</si>
  <si>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</si>
  <si>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</si>
  <si>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</si>
  <si>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</si>
  <si>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</si>
  <si>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</si>
  <si>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</si>
  <si>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</si>
  <si>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</si>
  <si>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</si>
  <si>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</si>
  <si>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</si>
  <si>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</si>
  <si>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</si>
  <si>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</si>
  <si>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</si>
  <si>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</si>
  <si>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</si>
  <si>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</si>
  <si>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</si>
  <si>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</si>
  <si>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</si>
  <si>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</si>
  <si>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</si>
  <si>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</si>
  <si>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</si>
  <si>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</si>
  <si>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</si>
  <si>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</si>
  <si>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</si>
  <si>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</si>
  <si>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</si>
  <si>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</si>
  <si>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</si>
  <si>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</si>
  <si>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</si>
  <si>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</si>
  <si>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</si>
  <si>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</si>
  <si>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</si>
  <si>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</si>
  <si>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</si>
  <si>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</si>
  <si>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</si>
  <si>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</si>
  <si>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</si>
  <si>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</si>
  <si>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</si>
  <si>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</si>
  <si>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</si>
  <si>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</si>
  <si>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</si>
  <si>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</si>
  <si>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</si>
  <si>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</si>
  <si>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</si>
  <si>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</si>
  <si>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</si>
  <si>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</si>
  <si>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</si>
  <si>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</si>
  <si>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</si>
  <si>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</si>
  <si>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</si>
  <si>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</si>
  <si>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</si>
  <si>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</si>
  <si>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</si>
  <si>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</si>
  <si>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</si>
  <si>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</si>
  <si>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</si>
  <si>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</si>
  <si>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</si>
  <si>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</si>
  <si>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</si>
  <si>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</si>
  <si>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</si>
  <si>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</si>
  <si>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</si>
  <si>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</si>
  <si>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</si>
  <si>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</si>
  <si>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</si>
  <si>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</si>
  <si>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</si>
  <si>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</si>
  <si>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</si>
  <si>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</si>
  <si>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</si>
  <si>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</si>
  <si>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</si>
  <si>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</si>
  <si>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</si>
  <si>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</si>
  <si>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</si>
  <si>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</si>
  <si>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</si>
  <si>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</si>
  <si>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</si>
  <si>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</si>
  <si>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</si>
  <si>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</si>
  <si>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</si>
  <si>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</si>
  <si>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</si>
  <si>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</si>
  <si>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</si>
  <si>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</si>
  <si>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</si>
  <si>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</si>
  <si>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</si>
  <si>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</si>
  <si>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</si>
  <si>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</si>
  <si>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</si>
  <si>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</si>
  <si>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</si>
  <si>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</si>
  <si>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</si>
  <si>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</si>
  <si>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</si>
  <si>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</si>
  <si>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</si>
  <si>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</si>
  <si>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</si>
  <si>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</si>
  <si>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</si>
  <si>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</si>
  <si>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</si>
  <si>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</si>
  <si>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</si>
  <si>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</si>
  <si>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</si>
  <si>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</si>
  <si>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</si>
  <si>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</si>
  <si>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</si>
  <si>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</si>
  <si>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</si>
  <si>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</si>
  <si>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</si>
  <si>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</si>
  <si>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</si>
  <si>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</si>
  <si>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</si>
  <si>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</si>
  <si>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</si>
  <si>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</si>
  <si>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</si>
  <si>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</si>
  <si>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</si>
  <si>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</si>
  <si>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</si>
  <si>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</si>
  <si>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</si>
  <si>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</si>
  <si>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</si>
  <si>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</si>
  <si>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</si>
  <si>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</si>
  <si>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</si>
  <si>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</si>
  <si>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</si>
  <si>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</si>
  <si>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</si>
  <si>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</si>
  <si>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</si>
  <si>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</si>
  <si>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</si>
  <si>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</si>
  <si>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</si>
  <si>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</si>
  <si>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</si>
  <si>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</si>
  <si>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</si>
  <si>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</si>
  <si>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</si>
  <si>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</si>
  <si>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</si>
  <si>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</si>
  <si>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</si>
  <si>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</si>
  <si>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</si>
  <si>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</si>
  <si>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</si>
  <si>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</si>
  <si>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</si>
  <si>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</si>
  <si>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</si>
  <si>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</si>
  <si>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</si>
  <si>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</si>
  <si>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</si>
  <si>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</si>
  <si>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</si>
  <si>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</si>
  <si>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</si>
  <si>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</si>
  <si>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</si>
  <si>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</si>
  <si>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</si>
  <si>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</si>
  <si>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</si>
  <si>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</si>
  <si>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</si>
  <si>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</si>
  <si>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</si>
  <si>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</si>
  <si>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</si>
  <si>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</si>
  <si>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</si>
  <si>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</si>
  <si>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</si>
  <si>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</si>
  <si>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</si>
  <si>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</si>
  <si>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</si>
  <si>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</si>
  <si>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</si>
  <si>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</si>
  <si>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</si>
  <si>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</si>
  <si>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</si>
  <si>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</si>
  <si>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</si>
  <si>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</si>
  <si>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</si>
  <si>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</si>
  <si>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</si>
  <si>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</si>
  <si>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</si>
  <si>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</si>
  <si>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</si>
  <si>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</si>
  <si>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</si>
  <si>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</si>
  <si>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</si>
  <si>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</si>
  <si>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</si>
  <si>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</si>
  <si>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</si>
  <si>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</si>
  <si>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</si>
  <si>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</si>
  <si>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</si>
  <si>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</si>
  <si>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</si>
  <si>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</si>
  <si>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</si>
  <si>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</si>
  <si>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</si>
  <si>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</si>
  <si>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</si>
  <si>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</si>
  <si>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</si>
  <si>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</si>
  <si>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</si>
  <si>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</si>
  <si>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</si>
  <si>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</si>
  <si>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</si>
  <si>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</si>
  <si>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</si>
  <si>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</si>
  <si>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</si>
  <si>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</si>
  <si>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</si>
  <si>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</si>
  <si>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</si>
  <si>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</si>
  <si>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</si>
  <si>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</si>
  <si>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</si>
  <si>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</si>
  <si>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</si>
  <si>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</si>
  <si>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</si>
  <si>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</si>
  <si>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</si>
  <si>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</si>
  <si>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</si>
  <si>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</si>
  <si>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</si>
  <si>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</si>
  <si>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</si>
  <si>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</si>
  <si>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</si>
  <si>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</si>
  <si>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</si>
  <si>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</si>
  <si>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</si>
  <si>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</si>
  <si>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</si>
  <si>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</si>
  <si>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</si>
  <si>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</si>
  <si>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</si>
  <si>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</si>
  <si>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</si>
  <si>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</si>
  <si>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</si>
  <si>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</si>
  <si>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</si>
  <si>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</si>
  <si>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</si>
  <si>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</si>
  <si>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</si>
  <si>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</si>
  <si>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</si>
  <si>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</si>
  <si>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</si>
  <si>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</si>
  <si>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</si>
  <si>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</si>
  <si>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</si>
  <si>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</si>
  <si>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</si>
  <si>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</si>
  <si>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</si>
  <si>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</si>
  <si>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</si>
  <si>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</si>
  <si>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</si>
  <si>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</si>
  <si>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</si>
  <si>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</si>
  <si>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</si>
  <si>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</si>
  <si>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</si>
  <si>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</si>
  <si>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</si>
  <si>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</si>
  <si>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</si>
  <si>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</si>
  <si>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</si>
  <si>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</si>
  <si>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</si>
  <si>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</si>
  <si>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</si>
  <si>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</si>
  <si>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</si>
  <si>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</si>
  <si>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</si>
  <si>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</si>
  <si>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</si>
  <si>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</si>
  <si>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</si>
  <si>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</si>
  <si>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</si>
  <si>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</si>
  <si>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</si>
  <si>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</si>
  <si>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</si>
  <si>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</si>
  <si>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</si>
  <si>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</si>
  <si>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</si>
  <si>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</si>
  <si>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</si>
  <si>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</si>
  <si>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</si>
  <si>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</si>
  <si>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</si>
  <si>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</si>
  <si>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</si>
  <si>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</si>
  <si>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</si>
  <si>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</si>
  <si>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</si>
  <si>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</si>
  <si>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</si>
  <si>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</si>
  <si>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</si>
  <si>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</si>
  <si>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</si>
  <si>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</si>
  <si>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</si>
  <si>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</si>
  <si>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</si>
  <si>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</si>
  <si>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</si>
  <si>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</si>
  <si>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</si>
  <si>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</si>
  <si>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</si>
  <si>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</si>
  <si>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</si>
  <si>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</si>
  <si>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</si>
  <si>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</si>
  <si>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</si>
  <si>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</si>
  <si>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</si>
  <si>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</si>
  <si>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</si>
  <si>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</si>
  <si>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</si>
  <si>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</si>
  <si>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</si>
  <si>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</si>
  <si>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</si>
  <si>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</si>
  <si>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</si>
  <si>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</si>
  <si>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</si>
  <si>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</si>
  <si>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</si>
  <si>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</si>
  <si>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</si>
  <si>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</si>
  <si>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</si>
  <si>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</si>
  <si>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</si>
  <si>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</si>
  <si>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</si>
  <si>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</si>
  <si>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</si>
  <si>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</si>
  <si>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</si>
  <si>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</si>
  <si>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</si>
  <si>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</si>
  <si>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</si>
  <si>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</si>
  <si>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</si>
  <si>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</si>
  <si>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</si>
  <si>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</si>
  <si>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</si>
  <si>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</si>
  <si>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</si>
  <si>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</si>
  <si>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</si>
  <si>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</si>
  <si>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</si>
  <si>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</si>
  <si>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</si>
  <si>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</si>
  <si>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</si>
  <si>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</si>
  <si>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</si>
  <si>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</si>
  <si>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</si>
  <si>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</si>
  <si>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</si>
  <si>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</si>
  <si>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</si>
  <si>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</si>
  <si>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</si>
  <si>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</si>
  <si>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</si>
  <si>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</si>
  <si>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</si>
  <si>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</si>
  <si>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</si>
  <si>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</si>
  <si>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</si>
  <si>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</si>
  <si>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</si>
  <si>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</si>
  <si>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</si>
  <si>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</si>
  <si>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</si>
  <si>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</si>
  <si>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</si>
  <si>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</si>
  <si>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</si>
  <si>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</si>
  <si>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</si>
  <si>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</si>
  <si>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</si>
  <si>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</si>
  <si>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</si>
  <si>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</si>
  <si>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</si>
  <si>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</si>
  <si>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</si>
  <si>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</si>
  <si>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</si>
  <si>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</si>
  <si>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</si>
  <si>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</si>
  <si>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</si>
  <si>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</si>
  <si>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</si>
  <si>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</si>
  <si>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</si>
  <si>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</si>
  <si>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</si>
  <si>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</si>
  <si>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</si>
  <si>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</si>
  <si>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</si>
  <si>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</si>
  <si>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</si>
  <si>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</si>
  <si>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</si>
  <si>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</si>
  <si>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</si>
  <si>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</si>
  <si>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</si>
  <si>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</si>
  <si>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</si>
  <si>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</si>
  <si>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</si>
  <si>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</si>
  <si>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</si>
  <si>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</si>
  <si>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</si>
  <si>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</si>
  <si>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</si>
  <si>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</si>
  <si>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</si>
  <si>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</si>
  <si>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</si>
  <si>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</si>
  <si>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</si>
  <si>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</si>
  <si>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</si>
  <si>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</si>
  <si>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</si>
  <si>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</si>
  <si>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</si>
  <si>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</si>
  <si>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</si>
  <si>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</si>
  <si>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</si>
  <si>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</si>
  <si>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</si>
  <si>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</si>
  <si>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</si>
  <si>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</si>
  <si>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</si>
  <si>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</si>
  <si>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</si>
  <si>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</si>
  <si>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</si>
  <si>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</si>
  <si>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</si>
  <si>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</si>
  <si>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</si>
  <si>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</si>
  <si>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</si>
  <si>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</si>
  <si>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</si>
  <si>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</si>
  <si>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</si>
  <si>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</si>
  <si>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</si>
  <si>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</si>
  <si>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</si>
  <si>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</si>
  <si>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</si>
  <si>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</si>
  <si>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</si>
  <si>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</si>
  <si>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</si>
  <si>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</si>
  <si>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</si>
  <si>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</si>
  <si>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</si>
  <si>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</si>
  <si>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</si>
  <si>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</si>
  <si>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</si>
  <si>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</si>
  <si>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</si>
  <si>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</si>
  <si>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</si>
  <si>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</si>
  <si>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</si>
  <si>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</si>
  <si>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</si>
  <si>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</si>
  <si>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</si>
  <si>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</si>
  <si>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</si>
  <si>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</si>
  <si>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</si>
  <si>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</si>
  <si>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</si>
  <si>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</si>
  <si>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</si>
  <si>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</si>
  <si>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</si>
  <si>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</si>
  <si>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</si>
  <si>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</si>
  <si>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</si>
  <si>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</si>
  <si>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</si>
  <si>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</si>
  <si>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</si>
  <si>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</si>
  <si>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</si>
  <si>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</si>
  <si>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</si>
  <si>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</si>
  <si>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</si>
  <si>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</si>
  <si>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</si>
  <si>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</si>
  <si>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</si>
  <si>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</si>
  <si>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</si>
  <si>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</si>
  <si>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</si>
  <si>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</si>
  <si>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</si>
  <si>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</si>
  <si>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</si>
  <si>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</si>
  <si>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</si>
  <si>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</si>
  <si>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</si>
  <si>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</si>
  <si>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</si>
  <si>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</si>
  <si>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</si>
  <si>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</si>
  <si>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</si>
  <si>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</si>
  <si>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</si>
  <si>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</si>
  <si>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</si>
  <si>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</si>
  <si>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</si>
  <si>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</si>
  <si>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</si>
  <si>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</si>
  <si>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</si>
  <si>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</si>
  <si>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</si>
  <si>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</si>
  <si>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</si>
  <si>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</si>
  <si>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</si>
  <si>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</si>
  <si>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</si>
  <si>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</si>
  <si>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</si>
  <si>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</si>
  <si>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</si>
  <si>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</si>
  <si>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</si>
  <si>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</si>
  <si>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</si>
  <si>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</si>
  <si>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</si>
  <si>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</si>
  <si>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</si>
  <si>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</si>
  <si>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</si>
  <si>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</si>
  <si>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</si>
  <si>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</si>
  <si>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</si>
  <si>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</si>
  <si>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</si>
  <si>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</si>
  <si>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</si>
  <si>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</si>
  <si>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</si>
  <si>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</si>
  <si>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</si>
  <si>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</si>
  <si>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</si>
  <si>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</si>
  <si>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</si>
  <si>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</si>
  <si>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</si>
  <si>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</si>
  <si>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</si>
  <si>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</si>
  <si>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</si>
  <si>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</si>
  <si>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</si>
  <si>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</si>
  <si>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</si>
  <si>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</si>
  <si>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</si>
  <si>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</si>
  <si>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</si>
  <si>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</si>
  <si>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</si>
  <si>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</si>
  <si>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</si>
  <si>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</si>
  <si>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</si>
  <si>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</si>
  <si>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</si>
  <si>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</si>
  <si>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</si>
  <si>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</si>
  <si>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</si>
  <si>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</si>
  <si>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</si>
  <si>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</si>
  <si>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</si>
  <si>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</si>
  <si>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</si>
  <si>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</si>
  <si>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</si>
  <si>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</si>
  <si>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</si>
  <si>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</si>
  <si>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</si>
  <si>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</si>
  <si>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</si>
  <si>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</si>
  <si>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</si>
  <si>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</si>
  <si>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</si>
  <si>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</si>
  <si>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</si>
  <si>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</si>
  <si>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</si>
  <si>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</si>
  <si>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</si>
  <si>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</si>
  <si>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</si>
  <si>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</si>
  <si>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</si>
  <si>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</si>
  <si>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</si>
  <si>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</si>
  <si>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</si>
  <si>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</si>
  <si>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</si>
  <si>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</si>
  <si>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</si>
  <si>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</si>
  <si>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</si>
  <si>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</si>
  <si>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</si>
  <si>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</si>
  <si>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</si>
  <si>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</si>
  <si>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</si>
  <si>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</si>
  <si>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</si>
  <si>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</si>
  <si>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</si>
  <si>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</si>
  <si>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</si>
  <si>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</si>
  <si>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</si>
  <si>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</si>
  <si>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</si>
  <si>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</si>
  <si>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</si>
  <si>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</si>
  <si>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</si>
  <si>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</si>
  <si>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</si>
  <si>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</si>
  <si>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</si>
  <si>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</si>
  <si>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</si>
  <si>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</si>
  <si>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</si>
  <si>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</si>
  <si>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</si>
  <si>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</si>
  <si>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</si>
  <si>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</si>
  <si>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</si>
  <si>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</si>
  <si>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</si>
  <si>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</si>
  <si>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</si>
  <si>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</si>
  <si>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</si>
  <si>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</si>
  <si>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</si>
  <si>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</si>
  <si>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</si>
  <si>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</si>
  <si>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</si>
  <si>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</si>
  <si>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</si>
  <si>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</si>
  <si>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</si>
  <si>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</si>
  <si>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</si>
  <si>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</si>
  <si>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</si>
  <si>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</si>
  <si>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</si>
  <si>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</si>
  <si>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</si>
  <si>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</si>
  <si>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</si>
  <si>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</si>
  <si>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</si>
  <si>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</si>
  <si>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</si>
  <si>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</si>
  <si>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</si>
  <si>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</si>
  <si>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</si>
  <si>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</si>
  <si>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</si>
  <si>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</si>
  <si>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</si>
  <si>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</si>
  <si>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</si>
  <si>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</si>
  <si>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</si>
  <si>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</si>
  <si>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</si>
  <si>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</si>
  <si>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</si>
  <si>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</si>
  <si>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</si>
  <si>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</si>
  <si>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</si>
  <si>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</si>
  <si>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</si>
  <si>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</si>
  <si>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</si>
  <si>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</si>
  <si>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</si>
  <si>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</si>
  <si>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</si>
  <si>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</si>
  <si>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</si>
  <si>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</si>
  <si>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</si>
  <si>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</si>
  <si>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</si>
  <si>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</si>
  <si>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</si>
  <si>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</si>
  <si>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</si>
  <si>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</si>
  <si>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</si>
  <si>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</si>
  <si>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</si>
  <si>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</si>
  <si>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</si>
  <si>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</si>
  <si>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</si>
  <si>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</si>
  <si>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</si>
  <si>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</si>
  <si>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</si>
  <si>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</si>
  <si>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</si>
  <si>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</si>
  <si>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</si>
  <si>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</si>
  <si>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</si>
  <si>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</si>
  <si>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</si>
  <si>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</si>
  <si>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</si>
  <si>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</si>
  <si>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</si>
  <si>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</si>
  <si>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</si>
  <si>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</si>
  <si>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</si>
  <si>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</si>
  <si>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</si>
  <si>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</si>
  <si>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</si>
  <si>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</si>
  <si>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</si>
  <si>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</si>
  <si>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</si>
  <si>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</si>
  <si>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</si>
  <si>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</si>
  <si>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</si>
  <si>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</si>
  <si>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</si>
  <si>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</si>
  <si>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</si>
  <si>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</si>
  <si>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</si>
  <si>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</si>
  <si>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</si>
  <si>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</si>
  <si>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</si>
  <si>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</si>
  <si>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</si>
  <si>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</si>
  <si>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</si>
  <si>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</si>
  <si>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</si>
  <si>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</si>
  <si>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</si>
  <si>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</si>
  <si>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</si>
  <si>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</si>
  <si>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</si>
  <si>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</si>
  <si>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</si>
  <si>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</si>
  <si>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</si>
  <si>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</si>
  <si>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</si>
  <si>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</si>
  <si>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</si>
  <si>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</si>
  <si>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</si>
  <si>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</si>
  <si>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</si>
  <si>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</si>
  <si>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</si>
  <si>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</si>
  <si>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</si>
  <si>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</si>
  <si>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</si>
  <si>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</si>
  <si>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</si>
  <si>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</si>
  <si>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</si>
  <si>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</si>
  <si>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</si>
  <si>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</si>
  <si>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</si>
  <si>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</si>
  <si>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</si>
  <si>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</si>
  <si>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</si>
  <si>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</si>
  <si>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</si>
  <si>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</si>
  <si>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</si>
  <si>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</si>
  <si>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</si>
  <si>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</si>
  <si>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</si>
  <si>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</si>
  <si>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</si>
  <si>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</si>
  <si>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</si>
  <si>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</si>
  <si>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</si>
  <si>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</si>
  <si>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</si>
  <si>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</si>
  <si>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</si>
  <si>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</si>
  <si>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</si>
  <si>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</si>
  <si>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</si>
  <si>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</si>
  <si>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</si>
  <si>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</si>
  <si>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</si>
  <si>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</si>
  <si>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</si>
  <si>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</si>
  <si>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</si>
  <si>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</si>
  <si>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</si>
  <si>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</si>
  <si>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</si>
  <si>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</si>
  <si>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</si>
  <si>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</si>
  <si>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</si>
  <si>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</si>
  <si>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</si>
  <si>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</si>
  <si>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</si>
  <si>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</si>
  <si>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</si>
  <si>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</si>
  <si>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</si>
  <si>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</si>
  <si>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</si>
  <si>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</si>
  <si>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</si>
  <si>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</si>
  <si>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</si>
  <si>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</si>
  <si>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</si>
  <si>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</si>
  <si>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</si>
  <si>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</si>
  <si>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</si>
  <si>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</si>
  <si>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</si>
  <si>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</si>
  <si>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</si>
  <si>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</si>
  <si>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</si>
  <si>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</si>
  <si>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</si>
  <si>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</si>
  <si>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</si>
  <si>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</si>
  <si>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</si>
  <si>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</si>
  <si>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</si>
  <si>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</si>
  <si>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</si>
  <si>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</si>
  <si>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</si>
  <si>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</si>
  <si>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</si>
  <si>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</si>
  <si>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</si>
  <si>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</si>
  <si>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</si>
  <si>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</si>
  <si>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</si>
  <si>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</si>
  <si>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</si>
  <si>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</si>
  <si>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</si>
  <si>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</si>
  <si>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</si>
  <si>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</si>
  <si>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</si>
  <si>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</si>
  <si>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</si>
  <si>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</si>
  <si>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</si>
  <si>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</si>
  <si>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</si>
  <si>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</si>
  <si>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</si>
  <si>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</si>
  <si>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</si>
  <si>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</si>
  <si>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</si>
  <si>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</si>
  <si>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</si>
  <si>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</si>
  <si>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</si>
  <si>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</si>
  <si>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</si>
  <si>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</si>
  <si>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</si>
  <si>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</si>
  <si>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</si>
  <si>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</si>
  <si>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</si>
  <si>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</si>
  <si>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</si>
  <si>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</si>
  <si>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</si>
  <si>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</si>
  <si>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</si>
  <si>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</si>
  <si>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</si>
  <si>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</si>
  <si>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</si>
  <si>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</si>
  <si>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</si>
  <si>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</si>
  <si>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</si>
  <si>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</si>
  <si>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</si>
  <si>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</si>
  <si>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</si>
  <si>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</si>
  <si>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</si>
  <si>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</si>
  <si>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</si>
  <si>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</si>
  <si>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</si>
  <si>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</si>
  <si>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</si>
  <si>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</si>
  <si>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</si>
  <si>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</si>
  <si>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</si>
  <si>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</si>
  <si>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</si>
  <si>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</si>
  <si>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</si>
  <si>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</si>
  <si>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</si>
  <si>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</si>
  <si>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</si>
  <si>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</si>
  <si>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</si>
  <si>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</si>
  <si>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</si>
  <si>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</si>
  <si>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</si>
  <si>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</si>
  <si>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</si>
  <si>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</si>
  <si>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</si>
  <si>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</si>
  <si>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</si>
  <si>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</si>
  <si>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</si>
  <si>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</si>
  <si>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</si>
  <si>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</si>
  <si>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</si>
  <si>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</si>
  <si>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</si>
  <si>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</si>
  <si>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</si>
  <si>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</si>
  <si>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</si>
  <si>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</si>
  <si>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</si>
  <si>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</si>
  <si>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</si>
  <si>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</si>
  <si>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</si>
  <si>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</si>
  <si>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</si>
  <si>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</si>
  <si>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</si>
  <si>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</si>
  <si>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</si>
  <si>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</si>
  <si>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</si>
  <si>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</si>
  <si>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</si>
  <si>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</si>
  <si>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</si>
  <si>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</si>
  <si>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</si>
  <si>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</si>
  <si>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</si>
  <si>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</si>
  <si>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</si>
  <si>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</si>
  <si>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</si>
  <si>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</si>
  <si>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</si>
  <si>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</si>
  <si>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</si>
  <si>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</si>
  <si>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</si>
  <si>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</si>
  <si>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</si>
  <si>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</si>
  <si>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</si>
  <si>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</si>
  <si>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</si>
  <si>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</si>
  <si>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</si>
  <si>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</si>
  <si>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</si>
  <si>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</si>
  <si>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</si>
  <si>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</si>
  <si>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</si>
  <si>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</si>
  <si>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</si>
  <si>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</si>
  <si>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</si>
  <si>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</si>
  <si>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</si>
  <si>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</si>
  <si>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</si>
  <si>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</si>
  <si>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</si>
  <si>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</si>
  <si>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</si>
  <si>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</si>
  <si>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</si>
  <si>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</si>
  <si>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</si>
  <si>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</si>
  <si>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</si>
  <si>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</si>
  <si>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</si>
  <si>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</si>
  <si>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</si>
  <si>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</si>
  <si>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</si>
  <si>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</si>
  <si>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</si>
  <si>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</si>
  <si>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</si>
  <si>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</si>
  <si>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</si>
  <si>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</si>
  <si>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</si>
  <si>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</si>
  <si>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</si>
  <si>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</si>
  <si>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</si>
  <si>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</si>
  <si>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</si>
  <si>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</si>
  <si>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</si>
  <si>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</si>
  <si>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</si>
  <si>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</si>
  <si>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</si>
  <si>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</si>
  <si>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</si>
  <si>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</si>
  <si>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</si>
  <si>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</si>
  <si>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</si>
  <si>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</si>
  <si>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</si>
  <si>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</si>
  <si>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</si>
  <si>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</si>
  <si>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</si>
  <si>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</si>
  <si>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</si>
  <si>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</si>
  <si>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</si>
  <si>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</si>
  <si>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</si>
  <si>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</si>
  <si>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</si>
  <si>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</si>
  <si>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</si>
  <si>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</si>
  <si>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</si>
  <si>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</si>
  <si>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</si>
  <si>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</si>
  <si>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</si>
  <si>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</si>
  <si>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</si>
  <si>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</si>
  <si>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</si>
  <si>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</si>
  <si>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</si>
  <si>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</si>
  <si>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</si>
  <si>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</si>
  <si>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</si>
  <si>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</si>
  <si>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</si>
  <si>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</si>
  <si>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</si>
  <si>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</si>
  <si>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</si>
  <si>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</si>
  <si>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</si>
  <si>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</si>
  <si>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</si>
  <si>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</si>
  <si>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</si>
  <si>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</si>
  <si>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</si>
  <si>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</si>
  <si>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</si>
  <si>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</si>
  <si>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</si>
  <si>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</si>
  <si>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</si>
  <si>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</si>
  <si>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</si>
  <si>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</si>
  <si>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</si>
  <si>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</si>
  <si>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</si>
  <si>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</si>
  <si>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</si>
  <si>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</si>
  <si>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</si>
  <si>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</si>
  <si>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</si>
  <si>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</si>
  <si>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</si>
  <si>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</si>
  <si>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</si>
  <si>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</si>
  <si>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</si>
  <si>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</si>
  <si>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</si>
  <si>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</si>
  <si>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</si>
  <si>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</si>
  <si>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</si>
  <si>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</si>
  <si>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</si>
  <si>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</si>
  <si>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</si>
  <si>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</si>
  <si>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</si>
  <si>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</si>
  <si>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</si>
  <si>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</si>
  <si>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</si>
  <si>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</si>
  <si>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</si>
  <si>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</si>
  <si>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</si>
  <si>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</si>
  <si>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</si>
  <si>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</si>
  <si>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</si>
  <si>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</si>
  <si>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</si>
  <si>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</si>
  <si>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</si>
  <si>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</si>
  <si>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</si>
  <si>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</si>
  <si>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</si>
  <si>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</si>
  <si>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</si>
  <si>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</si>
  <si>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</si>
  <si>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</si>
  <si>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</si>
  <si>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</si>
  <si>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</si>
  <si>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</si>
  <si>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</si>
  <si>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</si>
  <si>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</si>
  <si>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</si>
  <si>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</si>
  <si>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</si>
  <si>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</si>
  <si>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</si>
  <si>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</si>
  <si>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</si>
  <si>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</si>
  <si>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</si>
  <si>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</si>
  <si>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</si>
  <si>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</si>
  <si>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</si>
  <si>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</si>
  <si>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</si>
  <si>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</si>
  <si>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</si>
  <si>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</si>
  <si>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</si>
  <si>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</si>
  <si>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</si>
  <si>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</si>
  <si>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</si>
  <si>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</si>
  <si>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</si>
  <si>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</si>
  <si>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</si>
  <si>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</si>
  <si>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</si>
  <si>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</si>
  <si>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</si>
  <si>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</si>
  <si>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</si>
  <si>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</si>
  <si>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</si>
  <si>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</si>
  <si>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</si>
  <si>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</si>
  <si>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</si>
  <si>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</si>
  <si>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</si>
  <si>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</si>
  <si>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</si>
  <si>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</si>
  <si>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</si>
  <si>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</si>
  <si>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</si>
  <si>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</si>
  <si>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</si>
  <si>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</si>
  <si>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</si>
  <si>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</si>
  <si>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</si>
  <si>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</si>
  <si>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</si>
  <si>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</si>
  <si>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</si>
  <si>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</si>
  <si>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</si>
  <si>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</si>
  <si>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</si>
  <si>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</si>
  <si>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</si>
  <si>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</si>
  <si>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</si>
  <si>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</si>
  <si>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</si>
  <si>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</si>
  <si>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</si>
  <si>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</si>
  <si>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</si>
  <si>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</si>
  <si>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</si>
  <si>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</si>
  <si>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</si>
  <si>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</si>
  <si>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</si>
  <si>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</si>
  <si>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</si>
  <si>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</si>
  <si>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</si>
  <si>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</si>
  <si>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</si>
  <si>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</si>
  <si>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</si>
  <si>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</si>
  <si>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</si>
  <si>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</si>
  <si>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</si>
  <si>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</si>
  <si>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</si>
  <si>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</si>
  <si>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</si>
  <si>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</si>
  <si>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</si>
  <si>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</si>
  <si>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</si>
  <si>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</si>
  <si>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</si>
  <si>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</si>
  <si>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</si>
  <si>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</si>
  <si>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</si>
  <si>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</si>
  <si>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</si>
  <si>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</si>
  <si>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</si>
  <si>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</si>
  <si>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</si>
  <si>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</si>
  <si>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</si>
  <si>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</si>
  <si>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</si>
  <si>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</si>
  <si>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</si>
  <si>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</si>
  <si>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</si>
  <si>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</si>
  <si>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</si>
  <si>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</si>
  <si>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</si>
  <si>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</si>
  <si>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</si>
  <si>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</si>
  <si>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</si>
  <si>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</si>
  <si>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</si>
  <si>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</si>
  <si>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</si>
  <si>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</si>
  <si>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</si>
  <si>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</si>
  <si>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</si>
  <si>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</si>
  <si>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</si>
  <si>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</si>
  <si>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</si>
  <si>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</si>
  <si>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</si>
  <si>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</si>
  <si>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</si>
  <si>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</si>
  <si>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</si>
  <si>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</si>
  <si>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</si>
  <si>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</si>
  <si>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</si>
  <si>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</si>
  <si>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</si>
  <si>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</si>
  <si>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</si>
  <si>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</si>
  <si>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</si>
  <si>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</si>
  <si>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</si>
  <si>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</si>
  <si>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</si>
  <si>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</si>
  <si>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</si>
  <si>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</si>
  <si>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</si>
  <si>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</si>
  <si>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</si>
  <si>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</si>
  <si>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</si>
  <si>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</si>
  <si>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</si>
  <si>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</si>
  <si>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</si>
  <si>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</si>
  <si>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</si>
  <si>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</si>
  <si>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</si>
  <si>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</si>
  <si>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</si>
  <si>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</si>
  <si>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</si>
  <si>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</si>
  <si>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</si>
  <si>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</si>
  <si>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</si>
  <si>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</si>
  <si>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</si>
  <si>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</si>
  <si>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</si>
  <si>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</si>
  <si>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</si>
  <si>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</si>
  <si>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</si>
  <si>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</si>
  <si>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</si>
  <si>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</si>
  <si>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</si>
  <si>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</si>
  <si>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</si>
  <si>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</si>
  <si>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</si>
  <si>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</si>
  <si>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</si>
  <si>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</si>
  <si>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</si>
  <si>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</si>
  <si>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</si>
  <si>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</si>
  <si>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</si>
  <si>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</si>
  <si>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</si>
  <si>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</si>
  <si>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</si>
  <si>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</si>
  <si>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</si>
  <si>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</si>
  <si>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</si>
  <si>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</si>
  <si>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</si>
  <si>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</si>
  <si>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</si>
  <si>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</si>
  <si>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</si>
  <si>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</si>
  <si>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</si>
  <si>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</si>
  <si>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</si>
  <si>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</si>
  <si>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</si>
  <si>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</si>
  <si>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</si>
  <si>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</si>
  <si>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</si>
  <si>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</si>
  <si>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</si>
  <si>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</si>
  <si>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</si>
  <si>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</si>
  <si>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</si>
  <si>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</si>
  <si>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</si>
  <si>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</si>
  <si>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</si>
  <si>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</si>
  <si>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</si>
  <si>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</si>
  <si>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</si>
  <si>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</si>
  <si>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</si>
  <si>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</si>
  <si>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</si>
  <si>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</si>
  <si>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</si>
  <si>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</si>
  <si>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</si>
  <si>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</si>
  <si>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</si>
  <si>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</si>
  <si>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</si>
  <si>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</si>
  <si>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</si>
  <si>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</si>
  <si>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</si>
  <si>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</si>
  <si>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</si>
  <si>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</si>
  <si>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</si>
  <si>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</si>
  <si>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</si>
  <si>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</si>
  <si>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</si>
  <si>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</si>
  <si>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</si>
  <si>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</si>
  <si>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</si>
  <si>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</si>
  <si>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</si>
  <si>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</si>
  <si>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</si>
  <si>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</si>
  <si>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</si>
  <si>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</si>
  <si>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</si>
  <si>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</si>
  <si>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</si>
  <si>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</si>
  <si>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</si>
  <si>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</si>
  <si>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</si>
  <si>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</si>
  <si>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</si>
  <si>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</si>
  <si>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</si>
  <si>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</si>
  <si>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</si>
  <si>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</si>
  <si>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</si>
  <si>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</si>
  <si>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</si>
  <si>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</si>
  <si>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</si>
  <si>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</si>
  <si>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</si>
  <si>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</si>
  <si>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</si>
  <si>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</si>
  <si>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</si>
  <si>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</si>
  <si>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</si>
  <si>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</si>
  <si>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</si>
  <si>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</si>
  <si>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</si>
  <si>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</si>
  <si>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</si>
  <si>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</si>
  <si>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</si>
  <si>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</si>
  <si>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</si>
  <si>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</si>
  <si>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</si>
  <si>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</si>
  <si>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</si>
  <si>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</si>
  <si>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</si>
  <si>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</si>
  <si>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</si>
  <si>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</si>
  <si>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</si>
  <si>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</si>
  <si>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</si>
  <si>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</si>
  <si>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</si>
  <si>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</si>
  <si>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</si>
  <si>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</si>
  <si>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</si>
  <si>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</si>
  <si>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</si>
  <si>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</si>
  <si>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</si>
  <si>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</si>
  <si>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</si>
  <si>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</si>
  <si>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</si>
  <si>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</si>
  <si>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</si>
  <si>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</si>
  <si>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</si>
  <si>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</si>
  <si>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</si>
  <si>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</si>
  <si>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</si>
  <si>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</si>
  <si>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</si>
  <si>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</si>
  <si>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</si>
  <si>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</si>
  <si>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</si>
  <si>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</si>
  <si>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</si>
  <si>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</si>
  <si>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</si>
  <si>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</si>
  <si>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</si>
  <si>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</si>
  <si>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</si>
  <si>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</si>
  <si>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</si>
  <si>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</si>
  <si>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</si>
  <si>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</si>
  <si>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</si>
  <si>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</si>
  <si>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</si>
  <si>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</si>
  <si>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</si>
  <si>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</si>
  <si>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</si>
  <si>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</si>
  <si>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</si>
  <si>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</si>
  <si>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</si>
  <si>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</si>
  <si>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</si>
  <si>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</si>
  <si>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</si>
  <si>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</si>
  <si>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</si>
  <si>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</si>
  <si>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</si>
  <si>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</si>
  <si>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</si>
  <si>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</si>
  <si>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</si>
  <si>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</si>
  <si>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</si>
  <si>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</si>
  <si>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</si>
  <si>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</si>
  <si>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</si>
  <si>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</si>
  <si>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</si>
  <si>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</si>
  <si>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</si>
  <si>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</si>
  <si>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</si>
  <si>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</si>
  <si>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</si>
  <si>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</si>
  <si>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</si>
  <si>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</si>
  <si>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</si>
  <si>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</si>
  <si>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</si>
  <si>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</si>
  <si>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</si>
  <si>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</si>
  <si>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</si>
  <si>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</si>
  <si>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</si>
  <si>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</si>
  <si>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</si>
  <si>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</si>
  <si>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</si>
  <si>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</si>
  <si>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</si>
  <si>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</si>
  <si>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</si>
  <si>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</si>
  <si>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</si>
  <si>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</si>
  <si>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</si>
  <si>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</si>
  <si>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</si>
  <si>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</si>
  <si>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</si>
  <si>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</si>
  <si>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</si>
  <si>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</si>
  <si>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</si>
  <si>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</si>
  <si>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</si>
  <si>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</si>
  <si>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</si>
  <si>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</si>
  <si>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</si>
  <si>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</si>
  <si>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</si>
  <si>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</si>
  <si>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</si>
  <si>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</si>
  <si>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</si>
  <si>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</si>
  <si>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</si>
  <si>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</si>
  <si>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</si>
  <si>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</si>
  <si>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</si>
  <si>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</si>
  <si>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</si>
  <si>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</si>
  <si>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</si>
  <si>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</si>
  <si>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</si>
  <si>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</si>
  <si>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</si>
  <si>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</si>
  <si>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</si>
  <si>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</si>
  <si>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</si>
  <si>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</si>
  <si>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</si>
  <si>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</si>
  <si>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</si>
  <si>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</si>
  <si>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</si>
  <si>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</si>
  <si>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</si>
  <si>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</si>
  <si>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</si>
  <si>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</si>
  <si>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</si>
  <si>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</si>
  <si>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</si>
  <si>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</si>
  <si>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</si>
  <si>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</si>
  <si>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</si>
  <si>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</si>
  <si>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</si>
  <si>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</si>
  <si>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</si>
  <si>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</si>
  <si>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</si>
  <si>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</si>
  <si>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</si>
  <si>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</si>
  <si>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</si>
  <si>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</si>
  <si>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</si>
  <si>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</si>
  <si>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</si>
  <si>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</si>
  <si>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</si>
  <si>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</si>
  <si>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</si>
  <si>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</si>
  <si>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</si>
  <si>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</si>
  <si>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</si>
  <si>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</si>
  <si>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</si>
  <si>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</si>
  <si>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</si>
  <si>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</si>
  <si>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</si>
  <si>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</si>
  <si>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</si>
  <si>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</si>
  <si>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</si>
  <si>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</si>
  <si>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</si>
  <si>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</si>
  <si>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</si>
  <si>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</si>
  <si>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</si>
  <si>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</si>
  <si>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</si>
  <si>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</si>
  <si>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</si>
  <si>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</si>
  <si>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</si>
  <si>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</si>
  <si>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</si>
  <si>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</si>
  <si>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</si>
  <si>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</si>
  <si>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</si>
  <si>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</si>
  <si>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</si>
  <si>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</si>
  <si>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</si>
  <si>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</si>
  <si>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</si>
  <si>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</si>
  <si>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</si>
  <si>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</si>
  <si>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</si>
  <si>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</si>
  <si>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</si>
  <si>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</si>
  <si>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</si>
  <si>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</si>
  <si>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</si>
  <si>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</si>
  <si>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</si>
  <si>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</si>
  <si>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</si>
  <si>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</si>
  <si>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</si>
  <si>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</si>
  <si>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</si>
  <si>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</si>
  <si>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</si>
  <si>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</si>
  <si>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</si>
  <si>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</si>
  <si>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</si>
  <si>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</si>
  <si>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</si>
  <si>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</si>
  <si>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</si>
  <si>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</si>
  <si>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</si>
  <si>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</si>
  <si>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</si>
  <si>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</si>
  <si>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</si>
  <si>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</si>
  <si>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</si>
  <si>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</si>
  <si>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</si>
  <si>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</si>
  <si>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</si>
  <si>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</si>
  <si>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</si>
  <si>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</si>
  <si>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</si>
  <si>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</si>
  <si>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</si>
  <si>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</si>
  <si>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</si>
  <si>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</si>
  <si>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</si>
  <si>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</si>
  <si>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</si>
  <si>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</si>
  <si>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</si>
  <si>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</si>
  <si>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</si>
  <si>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</si>
  <si>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</si>
  <si>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</si>
  <si>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</si>
  <si>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</si>
  <si>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</si>
  <si>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</si>
  <si>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</si>
  <si>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</si>
  <si>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</si>
  <si>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</si>
  <si>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</si>
  <si>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</si>
  <si>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</si>
  <si>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</si>
  <si>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</si>
  <si>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</si>
  <si>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</si>
  <si>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</si>
  <si>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</si>
  <si>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</si>
  <si>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</si>
  <si>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</si>
  <si>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</si>
  <si>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</si>
  <si>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</si>
  <si>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</si>
  <si>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</si>
  <si>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</si>
  <si>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</si>
  <si>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</si>
  <si>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</si>
  <si>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</si>
  <si>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</si>
  <si>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</si>
  <si>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</si>
  <si>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</si>
  <si>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</si>
  <si>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</si>
  <si>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</si>
  <si>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</si>
  <si>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</si>
  <si>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</si>
  <si>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</si>
  <si>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</si>
  <si>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</si>
  <si>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</si>
  <si>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</si>
  <si>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</si>
  <si>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</si>
  <si>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</si>
  <si>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</si>
  <si>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</si>
  <si>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</si>
  <si>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</si>
  <si>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</si>
  <si>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</si>
  <si>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</si>
  <si>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</si>
  <si>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</si>
  <si>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</si>
  <si>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</si>
  <si>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</si>
  <si>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</si>
  <si>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</si>
  <si>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</si>
  <si>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</si>
  <si>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</si>
  <si>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</si>
  <si>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</si>
  <si>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</si>
  <si>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</si>
  <si>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</si>
  <si>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</si>
  <si>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</si>
  <si>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</si>
  <si>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</si>
  <si>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</si>
  <si>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</si>
  <si>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</si>
  <si>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</si>
  <si>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</si>
  <si>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</si>
  <si>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</si>
  <si>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</si>
  <si>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</si>
  <si>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</si>
  <si>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</si>
  <si>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</si>
  <si>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</si>
  <si>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</si>
  <si>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</si>
  <si>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</si>
  <si>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</si>
  <si>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</si>
  <si>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</si>
  <si>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</si>
  <si>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</si>
  <si>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</si>
  <si>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</si>
  <si>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</si>
  <si>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</si>
  <si>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</si>
  <si>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</si>
  <si>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</si>
  <si>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</si>
  <si>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</si>
  <si>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</si>
  <si>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</si>
  <si>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</si>
  <si>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</si>
  <si>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</si>
  <si>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</si>
  <si>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</si>
  <si>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</si>
  <si>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</si>
  <si>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</si>
  <si>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</si>
  <si>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</si>
  <si>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</si>
  <si>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</si>
  <si>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</si>
  <si>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</si>
  <si>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</si>
  <si>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</si>
  <si>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</si>
  <si>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</si>
  <si>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</si>
  <si>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</si>
  <si>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</si>
  <si>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</si>
  <si>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</si>
  <si>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</si>
  <si>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</si>
  <si>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</si>
  <si>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</si>
  <si>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</si>
  <si>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</si>
  <si>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</si>
  <si>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</si>
  <si>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</si>
  <si>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</si>
  <si>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</si>
  <si>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</si>
  <si>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</si>
  <si>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</si>
  <si>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</si>
  <si>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</si>
  <si>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</si>
  <si>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</si>
  <si>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</si>
  <si>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</si>
  <si>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</si>
  <si>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</si>
  <si>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</si>
  <si>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</si>
  <si>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</si>
  <si>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</si>
  <si>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</si>
  <si>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</si>
  <si>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</si>
  <si>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</si>
  <si>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</si>
  <si>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</si>
  <si>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</si>
  <si>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</si>
  <si>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</si>
  <si>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</si>
  <si>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</si>
  <si>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</si>
  <si>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</si>
  <si>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</si>
  <si>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</si>
  <si>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</si>
  <si>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</si>
  <si>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</si>
  <si>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</si>
  <si>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</si>
  <si>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</si>
  <si>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</si>
  <si>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</si>
  <si>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</si>
  <si>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</si>
  <si>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</si>
  <si>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</si>
  <si>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</si>
  <si>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</si>
  <si>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</si>
  <si>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</si>
  <si>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</si>
  <si>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</si>
  <si>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</si>
  <si>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</si>
  <si>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</si>
  <si>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</si>
  <si>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</si>
  <si>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</si>
  <si>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</si>
  <si>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</si>
  <si>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</si>
  <si>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</si>
  <si>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</si>
  <si>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</si>
  <si>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</si>
  <si>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</si>
  <si>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</si>
  <si>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</si>
  <si>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</si>
  <si>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</si>
  <si>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</si>
  <si>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</si>
  <si>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</si>
  <si>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</si>
  <si>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</si>
  <si>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</si>
  <si>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</si>
  <si>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</si>
  <si>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</si>
  <si>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</si>
  <si>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</si>
  <si>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</si>
  <si>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</si>
  <si>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</si>
  <si>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</si>
  <si>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</si>
  <si>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</si>
  <si>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</si>
  <si>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</si>
  <si>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</si>
  <si>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</si>
  <si>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</si>
  <si>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</si>
  <si>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</si>
  <si>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</si>
  <si>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</si>
  <si>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</si>
  <si>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</si>
  <si>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</si>
  <si>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</si>
  <si>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</si>
  <si>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</si>
  <si>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</si>
  <si>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</si>
  <si>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</si>
  <si>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</si>
  <si>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</si>
  <si>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</si>
  <si>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</si>
  <si>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</si>
  <si>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</si>
  <si>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</si>
  <si>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</si>
  <si>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</si>
  <si>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</si>
  <si>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</si>
  <si>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</si>
  <si>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</si>
  <si>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</si>
  <si>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</si>
  <si>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</si>
  <si>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</si>
  <si>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</si>
  <si>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</si>
  <si>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</si>
  <si>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</si>
  <si>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</si>
  <si>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</si>
  <si>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</si>
  <si>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</si>
  <si>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</si>
  <si>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</si>
  <si>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</si>
  <si>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</si>
  <si>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</si>
  <si>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</si>
  <si>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</si>
  <si>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</si>
  <si>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</si>
  <si>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</si>
  <si>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</si>
  <si>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</si>
  <si>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</si>
  <si>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</si>
  <si>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</si>
  <si>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</si>
  <si>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</si>
  <si>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</si>
  <si>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</si>
  <si>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</si>
  <si>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</si>
  <si>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</si>
  <si>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</si>
  <si>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</si>
  <si>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</si>
  <si>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</si>
  <si>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</si>
  <si>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</si>
  <si>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</si>
  <si>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</si>
  <si>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</si>
  <si>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</si>
  <si>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</si>
  <si>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</si>
  <si>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</si>
  <si>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</si>
  <si>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</si>
  <si>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</si>
  <si>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</si>
  <si>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</si>
  <si>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</si>
  <si>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</si>
  <si>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</si>
  <si>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</si>
  <si>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</si>
  <si>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</si>
  <si>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</si>
  <si>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</si>
  <si>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</si>
  <si>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</si>
  <si>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</si>
  <si>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</si>
  <si>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</si>
  <si>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</si>
  <si>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</si>
  <si>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</si>
  <si>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</si>
  <si>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</si>
  <si>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</si>
  <si>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</si>
  <si>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</si>
  <si>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</si>
  <si>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</si>
  <si>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</si>
  <si>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</si>
  <si>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</si>
  <si>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</si>
  <si>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</si>
  <si>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</si>
  <si>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</si>
  <si>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</si>
  <si>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</si>
  <si>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</si>
  <si>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</si>
  <si>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</si>
  <si>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</si>
  <si>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</si>
  <si>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</si>
  <si>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</si>
  <si>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</si>
  <si>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</si>
  <si>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</si>
  <si>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</si>
  <si>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</si>
  <si>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</si>
  <si>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</si>
  <si>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</si>
  <si>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</si>
  <si>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</si>
  <si>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</si>
  <si>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</si>
  <si>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</si>
  <si>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</si>
  <si>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</si>
  <si>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</si>
  <si>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</si>
  <si>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</si>
  <si>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</si>
  <si>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</si>
  <si>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</si>
  <si>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</si>
  <si>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</si>
  <si>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</si>
  <si>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</si>
  <si>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</si>
  <si>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</si>
  <si>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</si>
  <si>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</si>
  <si>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</si>
  <si>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</si>
  <si>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</si>
  <si>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</si>
  <si>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</si>
  <si>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</si>
  <si>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</si>
  <si>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</si>
  <si>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</si>
  <si>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</si>
  <si>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</si>
  <si>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</si>
  <si>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</si>
  <si>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</si>
  <si>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</si>
  <si>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</si>
  <si>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</si>
  <si>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</si>
  <si>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</si>
  <si>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</si>
  <si>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</si>
  <si>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</si>
  <si>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</si>
  <si>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</si>
  <si>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</si>
  <si>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</si>
  <si>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</si>
  <si>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</si>
  <si>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</si>
  <si>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</si>
  <si>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</si>
  <si>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</si>
  <si>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</si>
  <si>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</si>
  <si>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</si>
  <si>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</si>
  <si>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</si>
  <si>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</si>
  <si>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</si>
  <si>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</si>
  <si>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</si>
  <si>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</si>
  <si>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</si>
  <si>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</si>
  <si>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</si>
  <si>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</si>
  <si>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</si>
  <si>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</si>
  <si>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</si>
  <si>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</si>
  <si>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</si>
  <si>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</si>
  <si>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</si>
  <si>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</si>
  <si>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</si>
  <si>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</si>
  <si>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</si>
  <si>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</si>
  <si>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</si>
  <si>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</si>
  <si>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</si>
  <si>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</si>
  <si>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</si>
  <si>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</si>
  <si>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</si>
  <si>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</si>
  <si>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</si>
  <si>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</si>
  <si>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</si>
  <si>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</si>
  <si>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</si>
  <si>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</si>
  <si>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</si>
  <si>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</si>
  <si>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</si>
  <si>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</si>
  <si>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</si>
  <si>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</si>
  <si>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</si>
  <si>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</si>
  <si>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</si>
  <si>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</si>
  <si>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</si>
  <si>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</si>
  <si>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</si>
  <si>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</si>
  <si>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</si>
  <si>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</si>
  <si>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</si>
  <si>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</si>
  <si>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</si>
  <si>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</si>
  <si>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</si>
  <si>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</si>
  <si>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</si>
  <si>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</si>
  <si>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</si>
  <si>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</si>
  <si>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</si>
  <si>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</si>
  <si>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</si>
  <si>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</si>
  <si>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</si>
  <si>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</si>
  <si>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</si>
  <si>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</si>
  <si>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</si>
  <si>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</si>
  <si>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</si>
  <si>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</si>
  <si>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</si>
  <si>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</si>
  <si>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</si>
  <si>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</si>
  <si>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</si>
  <si>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</si>
  <si>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</si>
  <si>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</si>
  <si>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</si>
  <si>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</si>
  <si>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</si>
  <si>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</si>
  <si>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</si>
  <si>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</si>
  <si>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</si>
  <si>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</si>
  <si>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</si>
  <si>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</si>
  <si>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</si>
  <si>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</si>
  <si>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</si>
  <si>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</si>
  <si>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</si>
  <si>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</si>
  <si>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</si>
  <si>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</si>
  <si>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</si>
  <si>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</si>
  <si>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</si>
  <si>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</si>
  <si>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</si>
  <si>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</si>
  <si>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</si>
  <si>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</si>
  <si>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</si>
  <si>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</si>
  <si>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</si>
  <si>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</si>
  <si>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</si>
  <si>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</si>
  <si>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</si>
  <si>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</si>
  <si>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</si>
  <si>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</si>
  <si>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</si>
  <si>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</si>
  <si>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</si>
  <si>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</si>
  <si>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</si>
  <si>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</si>
  <si>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</si>
  <si>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</si>
  <si>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</si>
  <si>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</si>
  <si>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</si>
  <si>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</si>
  <si>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</si>
  <si>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</si>
  <si>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</si>
  <si>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</si>
  <si>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</si>
  <si>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</si>
  <si>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</si>
  <si>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</si>
  <si>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</si>
  <si>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</si>
  <si>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</si>
  <si>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</si>
  <si>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</si>
  <si>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</si>
  <si>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</si>
  <si>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</si>
  <si>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</si>
  <si>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</si>
  <si>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</si>
  <si>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</si>
  <si>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</si>
  <si>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</si>
  <si>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</si>
  <si>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</si>
  <si>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</si>
  <si>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</si>
  <si>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</si>
  <si>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</si>
  <si>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</si>
  <si>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</si>
  <si>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</si>
  <si>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</si>
  <si>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</si>
  <si>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</si>
  <si>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</si>
  <si>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</si>
  <si>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</si>
  <si>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</si>
  <si>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</si>
  <si>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</si>
  <si>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</si>
  <si>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</si>
  <si>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</si>
  <si>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</si>
  <si>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</si>
  <si>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</si>
  <si>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</si>
  <si>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</si>
  <si>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</si>
  <si>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</si>
  <si>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</si>
  <si>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</si>
  <si>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</si>
  <si>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</si>
  <si>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</si>
  <si>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</si>
  <si>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</si>
  <si>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</si>
  <si>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</si>
  <si>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</si>
  <si>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</si>
  <si>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</si>
  <si>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</si>
  <si>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</si>
  <si>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</si>
  <si>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</si>
  <si>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</si>
  <si>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</si>
  <si>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</si>
  <si>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</si>
  <si>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</si>
  <si>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</si>
  <si>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</si>
  <si>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</si>
  <si>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</si>
  <si>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</si>
  <si>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</si>
  <si>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</si>
  <si>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</si>
  <si>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</si>
  <si>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</si>
  <si>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</si>
  <si>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</si>
  <si>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</si>
  <si>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</si>
  <si>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</si>
  <si>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</si>
  <si>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</si>
  <si>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</si>
  <si>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</si>
  <si>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</si>
  <si>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</si>
  <si>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</si>
  <si>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</si>
  <si>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</si>
  <si>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</si>
  <si>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</si>
  <si>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</si>
  <si>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</si>
  <si>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</si>
  <si>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</si>
  <si>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</si>
  <si>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</si>
  <si>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</si>
  <si>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</si>
  <si>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</si>
  <si>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</si>
  <si>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</si>
  <si>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</si>
  <si>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</si>
  <si>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</si>
  <si>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</si>
  <si>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</si>
  <si>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</si>
  <si>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</si>
  <si>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</si>
  <si>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</si>
  <si>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</si>
  <si>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</si>
  <si>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</si>
  <si>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</si>
  <si>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</si>
  <si>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</si>
  <si>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</si>
  <si>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</si>
  <si>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</si>
  <si>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</si>
  <si>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</si>
  <si>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</si>
  <si>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</si>
  <si>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</si>
  <si>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</si>
  <si>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</si>
  <si>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</si>
  <si>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</si>
  <si>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</si>
  <si>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</si>
  <si>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</si>
  <si>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</si>
  <si>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</si>
  <si>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</si>
  <si>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</si>
  <si>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</si>
  <si>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</si>
  <si>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</si>
  <si>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</si>
  <si>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</si>
  <si>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</si>
  <si>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</si>
  <si>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</si>
  <si>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</si>
  <si>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</si>
  <si>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</si>
  <si>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</si>
  <si>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</si>
  <si>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</si>
  <si>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</si>
  <si>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</si>
  <si>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</si>
  <si>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</si>
  <si>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</si>
  <si>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</si>
  <si>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</si>
  <si>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</si>
  <si>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</si>
  <si>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</si>
  <si>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</si>
  <si>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</si>
  <si>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</si>
  <si>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</si>
  <si>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</si>
  <si>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</si>
  <si>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</si>
  <si>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</si>
  <si>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</si>
  <si>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</si>
  <si>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</si>
  <si>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</si>
  <si>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</si>
  <si>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</si>
  <si>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</si>
  <si>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</si>
  <si>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</si>
  <si>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</si>
  <si>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</si>
  <si>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</si>
  <si>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</si>
  <si>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</si>
  <si>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</si>
  <si>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</si>
  <si>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</si>
  <si>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</si>
  <si>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</si>
  <si>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</si>
  <si>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</si>
  <si>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</si>
  <si>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</si>
  <si>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</si>
  <si>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</si>
  <si>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</si>
  <si>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</si>
  <si>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</si>
  <si>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</si>
  <si>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</si>
  <si>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</si>
  <si>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</si>
  <si>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</si>
  <si>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</si>
  <si>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</si>
  <si>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</si>
  <si>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</si>
  <si>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</si>
  <si>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</si>
  <si>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</si>
  <si>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</si>
  <si>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</si>
  <si>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</si>
  <si>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</si>
  <si>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</si>
  <si>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</si>
  <si>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</si>
  <si>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</si>
  <si>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</si>
  <si>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</si>
  <si>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</si>
  <si>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</si>
  <si>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</si>
  <si>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</si>
  <si>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</si>
  <si>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</si>
  <si>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</si>
  <si>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</si>
  <si>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</si>
  <si>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</si>
  <si>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</si>
  <si>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</si>
  <si>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</si>
  <si>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</si>
  <si>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</si>
  <si>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</si>
  <si>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</si>
  <si>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</si>
  <si>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</si>
  <si>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</si>
  <si>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</si>
  <si>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</si>
  <si>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</si>
  <si>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</si>
  <si>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</si>
  <si>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</si>
  <si>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</si>
  <si>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</si>
  <si>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</si>
  <si>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</si>
  <si>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</si>
  <si>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</si>
  <si>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</si>
  <si>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</si>
  <si>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</si>
  <si>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</si>
  <si>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</si>
  <si>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</si>
  <si>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</si>
  <si>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</si>
  <si>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</si>
  <si>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</si>
  <si>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</si>
  <si>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</si>
  <si>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</si>
  <si>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</si>
  <si>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</si>
  <si>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</si>
  <si>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</si>
  <si>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</si>
  <si>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</si>
  <si>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</si>
  <si>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</si>
  <si>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</si>
  <si>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</si>
  <si>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</si>
  <si>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</si>
  <si>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</si>
  <si>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</si>
  <si>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</si>
  <si>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</si>
  <si>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</si>
  <si>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</si>
  <si>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</si>
  <si>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</si>
  <si>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</si>
  <si>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</si>
  <si>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</si>
  <si>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</si>
  <si>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</si>
  <si>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</si>
  <si>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</si>
  <si>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</si>
  <si>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</si>
  <si>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</si>
  <si>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</si>
  <si>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</si>
  <si>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</si>
  <si>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</si>
  <si>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</si>
  <si>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</si>
  <si>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</si>
  <si>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</si>
  <si>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</si>
  <si>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</si>
  <si>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</si>
  <si>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</si>
  <si>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</si>
  <si>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</si>
  <si>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</si>
  <si>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</si>
  <si>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</si>
  <si>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</si>
  <si>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</si>
  <si>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</si>
  <si>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</si>
  <si>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</si>
  <si>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</si>
  <si>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</si>
  <si>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</si>
  <si>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</si>
  <si>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</si>
  <si>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</si>
  <si>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</si>
  <si>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</si>
  <si>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</si>
  <si>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</si>
  <si>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</si>
  <si>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</si>
  <si>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</si>
  <si>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</si>
  <si>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</si>
  <si>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</si>
  <si>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</si>
  <si>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</si>
  <si>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</si>
  <si>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</si>
  <si>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</si>
  <si>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</si>
  <si>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</si>
  <si>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</si>
  <si>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</si>
  <si>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</si>
  <si>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</si>
  <si>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</si>
  <si>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</si>
  <si>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</si>
  <si>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</si>
  <si>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</si>
  <si>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</si>
  <si>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</si>
  <si>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</si>
  <si>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</si>
  <si>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</si>
  <si>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</si>
  <si>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</si>
  <si>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</si>
  <si>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</si>
  <si>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</si>
  <si>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</si>
  <si>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</si>
  <si>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</si>
  <si>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</si>
  <si>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</si>
  <si>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</si>
  <si>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</si>
  <si>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</si>
  <si>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</si>
  <si>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</si>
  <si>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</si>
  <si>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</si>
  <si>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</si>
  <si>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</si>
  <si>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</si>
  <si>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</si>
  <si>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</si>
  <si>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</si>
  <si>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</si>
  <si>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</si>
  <si>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</si>
  <si>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</si>
  <si>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</si>
  <si>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</si>
  <si>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</si>
  <si>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</si>
  <si>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</si>
  <si>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</si>
  <si>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</si>
  <si>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</si>
  <si>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</si>
  <si>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</si>
  <si>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</si>
  <si>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</si>
  <si>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</si>
  <si>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</si>
  <si>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</si>
  <si>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</si>
  <si>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</si>
  <si>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</si>
  <si>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</si>
  <si>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</si>
  <si>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</si>
  <si>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</si>
  <si>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</si>
  <si>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</si>
  <si>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</si>
  <si>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</si>
  <si>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</si>
  <si>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</si>
  <si>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</si>
  <si>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</si>
  <si>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</si>
  <si>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</si>
  <si>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</si>
  <si>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</si>
  <si>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</si>
  <si>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</si>
  <si>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</si>
  <si>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</si>
  <si>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</si>
  <si>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</si>
  <si>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</si>
  <si>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</si>
  <si>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</si>
  <si>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</si>
  <si>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</si>
  <si>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</si>
  <si>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</si>
  <si>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</si>
  <si>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</si>
  <si>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</si>
  <si>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</si>
  <si>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</si>
  <si>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</si>
  <si>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</si>
  <si>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</si>
  <si>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</si>
  <si>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</si>
  <si>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</si>
  <si>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</si>
  <si>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</si>
  <si>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</si>
  <si>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</si>
  <si>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</si>
  <si>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</si>
  <si>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</si>
  <si>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</si>
  <si>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</si>
  <si>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</si>
  <si>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</si>
  <si>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</si>
  <si>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</si>
  <si>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</si>
  <si>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</si>
  <si>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</si>
  <si>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</si>
  <si>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</si>
  <si>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</si>
  <si>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</si>
  <si>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</si>
  <si>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</si>
  <si>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</si>
  <si>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</si>
  <si>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</si>
  <si>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</si>
  <si>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</si>
  <si>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</si>
  <si>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</si>
  <si>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</si>
  <si>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</si>
  <si>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</si>
  <si>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</si>
  <si>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</si>
  <si>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</si>
  <si>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</si>
  <si>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</si>
  <si>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</si>
  <si>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</si>
  <si>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</si>
  <si>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</si>
  <si>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</si>
  <si>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</si>
  <si>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</si>
  <si>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</si>
  <si>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</si>
  <si>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</si>
  <si>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</si>
  <si>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</si>
  <si>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</si>
  <si>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</si>
  <si>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</si>
  <si>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</si>
  <si>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</si>
  <si>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</si>
  <si>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</si>
  <si>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</si>
  <si>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</si>
  <si>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</si>
  <si>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</si>
  <si>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</si>
  <si>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</si>
  <si>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</si>
  <si>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</si>
  <si>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</si>
  <si>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</si>
  <si>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</si>
  <si>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</si>
  <si>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</si>
  <si>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</si>
  <si>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</si>
  <si>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</si>
  <si>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</si>
  <si>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</si>
  <si>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</si>
  <si>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</si>
  <si>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</si>
  <si>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</si>
  <si>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</si>
  <si>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</si>
  <si>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</si>
  <si>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</si>
  <si>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</si>
  <si>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</si>
  <si>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</si>
  <si>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</si>
  <si>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</si>
  <si>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</si>
  <si>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</si>
  <si>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</si>
  <si>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</si>
  <si>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</si>
  <si>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</si>
  <si>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</si>
  <si>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</si>
  <si>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</si>
  <si>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</si>
  <si>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</si>
  <si>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</si>
  <si>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</si>
  <si>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</si>
  <si>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</si>
  <si>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</si>
  <si>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</si>
  <si>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</si>
  <si>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</si>
  <si>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</si>
  <si>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</si>
  <si>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</si>
  <si>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</si>
  <si>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</si>
  <si>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</si>
  <si>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</si>
  <si>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</si>
  <si>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</si>
  <si>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</si>
  <si>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</si>
  <si>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</si>
  <si>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</si>
  <si>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</si>
  <si>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</si>
  <si>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</si>
  <si>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</si>
  <si>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</si>
  <si>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</si>
  <si>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</si>
  <si>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</si>
  <si>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</si>
  <si>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</si>
  <si>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</si>
  <si>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</si>
  <si>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</si>
  <si>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</si>
  <si>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</si>
  <si>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</si>
  <si>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</si>
  <si>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</si>
  <si>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</si>
  <si>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</si>
  <si>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</si>
  <si>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</si>
  <si>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</si>
  <si>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</si>
  <si>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</si>
  <si>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</si>
  <si>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</si>
  <si>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</si>
  <si>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</si>
  <si>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</si>
  <si>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</si>
  <si>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</si>
  <si>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</si>
  <si>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</si>
  <si>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</si>
  <si>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</si>
  <si>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</si>
  <si>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</si>
  <si>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</si>
  <si>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</si>
  <si>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</si>
  <si>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</si>
  <si>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</si>
  <si>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</si>
  <si>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</si>
  <si>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</si>
  <si>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</si>
  <si>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</si>
  <si>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</si>
  <si>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</si>
  <si>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</si>
  <si>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</si>
  <si>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</si>
  <si>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</si>
  <si>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</si>
  <si>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</si>
  <si>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</si>
  <si>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</si>
  <si>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</si>
  <si>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</si>
  <si>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</si>
  <si>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</si>
  <si>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</si>
  <si>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</si>
  <si>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</si>
  <si>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</si>
  <si>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</si>
  <si>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</si>
  <si>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</si>
  <si>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</si>
  <si>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</si>
  <si>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</si>
  <si>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</si>
  <si>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</si>
  <si>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</si>
  <si>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</si>
  <si>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</si>
  <si>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</si>
  <si>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</si>
  <si>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</si>
  <si>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</si>
  <si>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</si>
  <si>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</si>
  <si>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</si>
  <si>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</si>
  <si>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</si>
  <si>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</si>
  <si>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</si>
  <si>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</si>
  <si>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</si>
  <si>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</si>
  <si>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</si>
  <si>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</si>
  <si>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</si>
  <si>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</si>
  <si>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</si>
  <si>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</si>
  <si>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</si>
  <si>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</si>
  <si>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</si>
  <si>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</si>
  <si>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</si>
  <si>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</si>
  <si>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</si>
  <si>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</si>
  <si>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</si>
  <si>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</si>
  <si>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</si>
  <si>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</si>
  <si>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</si>
  <si>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</si>
  <si>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</si>
  <si>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</si>
  <si>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</si>
  <si>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</si>
  <si>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</si>
  <si>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</si>
  <si>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</si>
  <si>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</si>
  <si>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</si>
  <si>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</si>
  <si>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</si>
  <si>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</si>
  <si>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</si>
  <si>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</si>
  <si>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</si>
  <si>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</si>
  <si>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</si>
  <si>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</si>
  <si>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</si>
  <si>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</si>
  <si>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</si>
  <si>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</si>
  <si>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</si>
  <si>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</si>
  <si>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</si>
  <si>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</si>
  <si>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</si>
  <si>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</si>
  <si>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</si>
  <si>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</si>
  <si>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</si>
  <si>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</si>
  <si>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</si>
  <si>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</si>
  <si>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</si>
  <si>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</si>
  <si>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</si>
  <si>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</si>
  <si>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</si>
  <si>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</si>
  <si>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</si>
  <si>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</si>
  <si>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</si>
  <si>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</si>
  <si>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</si>
  <si>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</si>
  <si>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</si>
  <si>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</si>
  <si>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</si>
  <si>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</si>
  <si>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</si>
  <si>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</si>
  <si>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</si>
  <si>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</si>
  <si>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</si>
  <si>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</si>
  <si>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</si>
  <si>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</si>
  <si>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</si>
  <si>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</si>
  <si>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</si>
  <si>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</si>
  <si>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</si>
  <si>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</si>
  <si>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</si>
  <si>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</si>
  <si>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</si>
  <si>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</si>
  <si>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</si>
  <si>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</si>
  <si>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</si>
  <si>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</si>
  <si>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</si>
  <si>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</si>
  <si>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</si>
  <si>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</si>
  <si>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</si>
  <si>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</si>
  <si>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</si>
  <si>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</si>
  <si>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</si>
  <si>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</si>
  <si>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</si>
  <si>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</si>
  <si>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</si>
  <si>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</si>
  <si>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</si>
  <si>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</si>
  <si>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</si>
  <si>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</si>
  <si>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</si>
  <si>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</si>
  <si>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</si>
  <si>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</si>
  <si>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</si>
  <si>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</si>
  <si>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</si>
  <si>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</si>
  <si>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</si>
  <si>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</si>
  <si>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</si>
  <si>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</si>
  <si>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</si>
  <si>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</si>
  <si>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</si>
  <si>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</si>
  <si>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</si>
  <si>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</si>
  <si>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</si>
  <si>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</si>
  <si>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</si>
  <si>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</si>
  <si>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</si>
  <si>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</si>
  <si>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</si>
  <si>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</si>
  <si>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</si>
  <si>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</si>
  <si>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</si>
  <si>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</si>
  <si>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</si>
  <si>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</si>
  <si>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</si>
  <si>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</si>
  <si>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</si>
  <si>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</si>
  <si>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</si>
  <si>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</si>
  <si>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</si>
  <si>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</si>
  <si>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</si>
  <si>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</si>
  <si>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</si>
  <si>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</si>
  <si>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</si>
  <si>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</si>
  <si>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</si>
  <si>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</si>
  <si>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</si>
  <si>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</si>
  <si>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</si>
  <si>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</si>
  <si>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</si>
  <si>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</si>
  <si>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</si>
  <si>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</si>
  <si>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</si>
  <si>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</si>
  <si>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</si>
  <si>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</si>
  <si>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</si>
  <si>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</si>
  <si>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</si>
  <si>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</si>
  <si>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</si>
  <si>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</si>
  <si>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</si>
  <si>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</si>
  <si>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</si>
  <si>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</si>
  <si>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</si>
  <si>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</si>
  <si>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</si>
  <si>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</si>
  <si>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</si>
  <si>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</si>
  <si>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</si>
  <si>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</si>
  <si>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</si>
  <si>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</si>
  <si>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</si>
  <si>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</si>
  <si>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</si>
  <si>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</si>
  <si>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</si>
  <si>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</si>
  <si>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</si>
  <si>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</si>
  <si>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</si>
  <si>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</si>
  <si>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</si>
  <si>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</si>
  <si>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</si>
  <si>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</si>
  <si>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</si>
  <si>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</si>
  <si>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</si>
  <si>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</si>
  <si>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</si>
  <si>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</si>
  <si>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</si>
  <si>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</si>
  <si>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</si>
  <si>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</si>
  <si>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</si>
  <si>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</si>
  <si>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</si>
  <si>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</si>
  <si>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</si>
  <si>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</si>
  <si>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</si>
  <si>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</si>
  <si>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</si>
  <si>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</si>
  <si>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</si>
  <si>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</si>
  <si>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</si>
  <si>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</si>
  <si>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</si>
  <si>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</si>
  <si>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</si>
  <si>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</si>
  <si>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</si>
  <si>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</si>
  <si>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</si>
  <si>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</si>
  <si>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</si>
  <si>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</si>
  <si>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</si>
  <si>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</si>
  <si>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</si>
  <si>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</si>
  <si>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</si>
  <si>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</si>
  <si>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</si>
  <si>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</si>
  <si>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</si>
  <si>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</si>
  <si>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</si>
  <si>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</si>
  <si>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</si>
  <si>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</si>
  <si>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</si>
  <si>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</si>
  <si>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</si>
  <si>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</si>
  <si>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</si>
  <si>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</si>
  <si>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</si>
  <si>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</si>
  <si>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</si>
  <si>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</si>
  <si>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</si>
  <si>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</si>
  <si>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</si>
  <si>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</si>
  <si>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</si>
  <si>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</si>
  <si>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</si>
  <si>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</si>
  <si>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</si>
  <si>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</si>
  <si>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</si>
  <si>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</si>
  <si>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</si>
  <si>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</si>
  <si>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</si>
  <si>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</si>
  <si>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</si>
  <si>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</si>
  <si>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</si>
  <si>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</si>
  <si>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</si>
  <si>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</si>
  <si>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</si>
  <si>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</si>
  <si>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</si>
  <si>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</si>
  <si>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</si>
  <si>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</si>
  <si>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</si>
  <si>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</si>
  <si>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</si>
  <si>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</si>
  <si>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</si>
  <si>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</si>
  <si>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</si>
  <si>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</si>
  <si>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</si>
  <si>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</si>
  <si>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</si>
  <si>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</si>
  <si>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</si>
  <si>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</si>
  <si>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</si>
  <si>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</si>
  <si>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</si>
  <si>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</si>
  <si>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</si>
  <si>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</si>
  <si>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</si>
  <si>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</si>
  <si>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</si>
  <si>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</si>
  <si>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</si>
  <si>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</si>
  <si>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</si>
  <si>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</si>
  <si>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</si>
  <si>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</si>
  <si>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</si>
  <si>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</si>
  <si>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</si>
  <si>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</si>
  <si>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</si>
  <si>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</si>
  <si>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</si>
  <si>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</si>
  <si>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</si>
  <si>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</si>
  <si>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</si>
  <si>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</si>
  <si>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</si>
  <si>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</si>
  <si>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</si>
  <si>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</si>
  <si>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</si>
  <si>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</si>
  <si>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</si>
  <si>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</si>
  <si>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</si>
  <si>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</si>
  <si>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</si>
  <si>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</si>
  <si>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</si>
  <si>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</si>
  <si>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</si>
  <si>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</si>
  <si>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</si>
  <si>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</si>
  <si>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</si>
  <si>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</si>
  <si>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</si>
  <si>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</si>
  <si>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</si>
  <si>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</si>
  <si>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</si>
  <si>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</si>
  <si>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</si>
  <si>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</si>
  <si>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</si>
  <si>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</si>
  <si>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</si>
  <si>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</si>
  <si>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</si>
  <si>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</si>
  <si>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</si>
  <si>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</si>
  <si>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</si>
  <si>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</si>
  <si>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</si>
  <si>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</si>
  <si>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</si>
  <si>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</si>
  <si>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</si>
  <si>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</si>
  <si>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</si>
  <si>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</si>
  <si>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</si>
  <si>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</si>
  <si>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</si>
  <si>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</si>
  <si>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</si>
  <si>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</si>
  <si>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</si>
  <si>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</si>
  <si>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</si>
  <si>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</si>
  <si>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</si>
  <si>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</si>
  <si>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</si>
  <si>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</si>
  <si>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</si>
  <si>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</si>
  <si>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</si>
  <si>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</si>
  <si>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</si>
  <si>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</si>
  <si>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</si>
  <si>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</si>
  <si>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</si>
  <si>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</si>
  <si>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</si>
  <si>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</si>
  <si>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</si>
  <si>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</si>
  <si>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</si>
  <si>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</si>
  <si>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</si>
  <si>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</si>
  <si>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</si>
  <si>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</si>
  <si>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</si>
  <si>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</si>
  <si>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</si>
  <si>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</si>
  <si>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</si>
  <si>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</si>
  <si>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</si>
  <si>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</si>
  <si>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</si>
  <si>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</si>
  <si>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</si>
  <si>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</si>
  <si>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</si>
  <si>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</si>
  <si>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</si>
  <si>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</si>
  <si>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</si>
  <si>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</si>
  <si>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</si>
  <si>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</si>
  <si>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</si>
  <si>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</si>
  <si>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</si>
  <si>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</si>
  <si>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</si>
  <si>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</si>
  <si>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</si>
  <si>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</si>
  <si>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</si>
  <si>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</si>
  <si>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</si>
  <si>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</si>
  <si>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</si>
  <si>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</si>
  <si>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</si>
  <si>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</si>
  <si>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</si>
  <si>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</si>
  <si>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</si>
  <si>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</si>
  <si>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</si>
  <si>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</si>
  <si>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</si>
  <si>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</si>
  <si>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</si>
  <si>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</si>
  <si>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</si>
  <si>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</si>
  <si>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</si>
  <si>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</si>
  <si>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</si>
  <si>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</si>
  <si>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</si>
  <si>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</si>
  <si>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</si>
  <si>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</si>
  <si>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</si>
  <si>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</si>
  <si>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</si>
  <si>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</si>
  <si>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</si>
  <si>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</si>
  <si>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</si>
  <si>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</si>
  <si>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</si>
  <si>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</si>
  <si>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</si>
  <si>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</si>
  <si>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</si>
  <si>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</si>
  <si>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</si>
  <si>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</si>
  <si>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</si>
  <si>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</si>
  <si>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</si>
  <si>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</si>
  <si>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</si>
  <si>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</si>
  <si>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</si>
  <si>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</si>
  <si>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</si>
  <si>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</si>
  <si>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</si>
  <si>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</si>
  <si>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</si>
  <si>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</si>
  <si>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</si>
  <si>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</si>
  <si>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</si>
  <si>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</si>
  <si>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</si>
  <si>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</si>
  <si>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</si>
  <si>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</si>
  <si>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</si>
  <si>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</si>
  <si>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</si>
  <si>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</si>
  <si>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</si>
  <si>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</si>
  <si>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</si>
  <si>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</si>
  <si>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</si>
  <si>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</si>
  <si>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</si>
  <si>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</si>
  <si>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</si>
  <si>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</si>
  <si>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</si>
  <si>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</si>
  <si>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</si>
  <si>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</si>
  <si>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</si>
  <si>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</si>
  <si>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</si>
  <si>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</si>
  <si>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</si>
  <si>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</si>
  <si>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</si>
  <si>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</si>
  <si>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</si>
  <si>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</si>
  <si>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</si>
  <si>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</si>
  <si>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</si>
  <si>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</si>
  <si>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</si>
  <si>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</si>
  <si>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</si>
  <si>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</si>
  <si>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</si>
  <si>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</si>
  <si>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</si>
  <si>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</si>
  <si>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</si>
  <si>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</si>
  <si>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</si>
  <si>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</si>
  <si>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</si>
  <si>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</si>
  <si>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</si>
  <si>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</si>
  <si>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</si>
  <si>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</si>
  <si>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</si>
  <si>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</si>
  <si>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</si>
  <si>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</si>
  <si>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</si>
  <si>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</si>
  <si>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</si>
  <si>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</si>
  <si>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</si>
  <si>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</si>
  <si>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</si>
  <si>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</si>
  <si>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</si>
  <si>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</si>
  <si>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</si>
  <si>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</si>
  <si>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</si>
  <si>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</si>
  <si>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</si>
  <si>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</si>
  <si>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</si>
  <si>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</si>
  <si>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</si>
  <si>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</si>
  <si>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</si>
  <si>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</si>
  <si>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</si>
  <si>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</si>
  <si>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</si>
  <si>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</si>
  <si>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</si>
  <si>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</si>
  <si>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</si>
  <si>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</si>
  <si>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</si>
  <si>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</si>
  <si>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</si>
  <si>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</si>
  <si>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</si>
  <si>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</si>
  <si>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</si>
  <si>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</si>
  <si>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</si>
  <si>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</si>
  <si>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</si>
  <si>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</si>
  <si>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</si>
  <si>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</si>
  <si>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</si>
  <si>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</si>
  <si>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</si>
  <si>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</si>
  <si>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</si>
  <si>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</si>
  <si>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</si>
  <si>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</si>
  <si>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</si>
  <si>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</si>
  <si>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</si>
  <si>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</si>
  <si>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</si>
  <si>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</si>
  <si>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</si>
  <si>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</si>
  <si>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</si>
  <si>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</si>
  <si>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</si>
  <si>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</si>
  <si>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</si>
  <si>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</si>
  <si>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</si>
  <si>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</si>
  <si>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</si>
  <si>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</si>
  <si>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</si>
  <si>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</si>
  <si>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</si>
  <si>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</si>
  <si>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</si>
  <si>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</si>
  <si>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</si>
  <si>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</si>
  <si>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</si>
  <si>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</si>
  <si>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</si>
  <si>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</si>
  <si>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</si>
  <si>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</si>
  <si>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</si>
  <si>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</si>
  <si>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</si>
  <si>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</si>
  <si>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</si>
  <si>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</si>
  <si>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</si>
  <si>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</si>
  <si>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</si>
  <si>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</si>
  <si>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</si>
  <si>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</si>
  <si>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</si>
  <si>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</si>
  <si>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</si>
  <si>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</si>
  <si>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</si>
  <si>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</si>
  <si>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</si>
  <si>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</si>
  <si>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</si>
  <si>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</si>
  <si>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</si>
  <si>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</si>
  <si>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</si>
  <si>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</si>
  <si>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</si>
  <si>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</si>
  <si>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</si>
  <si>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</si>
  <si>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</si>
  <si>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</si>
  <si>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</si>
  <si>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</si>
  <si>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</si>
  <si>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</si>
  <si>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</si>
  <si>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</si>
  <si>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</si>
  <si>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</si>
  <si>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</si>
  <si>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</si>
  <si>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</si>
  <si>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</si>
  <si>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</si>
  <si>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</si>
  <si>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</si>
  <si>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</si>
  <si>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</si>
  <si>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</si>
  <si>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</si>
  <si>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</si>
  <si>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</si>
  <si>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</si>
  <si>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</si>
  <si>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</si>
  <si>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</si>
  <si>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</si>
  <si>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</si>
  <si>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</si>
  <si>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</si>
  <si>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</si>
  <si>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</si>
  <si>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</si>
  <si>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</si>
  <si>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</si>
  <si>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</si>
  <si>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</si>
  <si>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</si>
  <si>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</si>
  <si>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</si>
  <si>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</si>
  <si>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</si>
  <si>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</si>
  <si>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</si>
  <si>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</si>
  <si>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</si>
  <si>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</si>
  <si>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</si>
  <si>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</si>
  <si>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</si>
  <si>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</si>
  <si>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</si>
  <si>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</si>
  <si>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</si>
  <si>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</si>
  <si>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</si>
  <si>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</si>
  <si>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</si>
  <si>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</si>
  <si>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</si>
  <si>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</si>
  <si>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</si>
  <si>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</si>
  <si>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</si>
  <si>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</si>
  <si>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</si>
  <si>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</si>
  <si>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</si>
  <si>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</si>
  <si>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</si>
  <si>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</si>
  <si>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</si>
  <si>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</si>
  <si>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</si>
  <si>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</si>
  <si>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</si>
  <si>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</si>
  <si>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</si>
  <si>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</si>
  <si>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</si>
  <si>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</si>
  <si>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</si>
  <si>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</si>
  <si>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</si>
  <si>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</si>
  <si>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</si>
  <si>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</si>
  <si>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</si>
  <si>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</si>
  <si>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</si>
  <si>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</si>
  <si>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</si>
  <si>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</si>
  <si>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</si>
  <si>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</si>
  <si>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</si>
  <si>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</si>
  <si>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</si>
  <si>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</si>
  <si>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</si>
  <si>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</si>
  <si>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</si>
  <si>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</si>
  <si>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</si>
  <si>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</si>
  <si>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</si>
  <si>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</si>
  <si>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</si>
  <si>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</si>
  <si>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</si>
  <si>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</si>
  <si>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</si>
  <si>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</si>
  <si>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</si>
  <si>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</si>
  <si>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</si>
  <si>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</si>
  <si>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</si>
  <si>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</si>
  <si>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</si>
  <si>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</si>
  <si>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</si>
  <si>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</si>
  <si>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</si>
  <si>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</si>
  <si>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</si>
  <si>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</si>
  <si>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</si>
  <si>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</si>
  <si>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</si>
  <si>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</si>
  <si>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</si>
  <si>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</si>
  <si>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</si>
  <si>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</si>
  <si>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</si>
  <si>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</si>
  <si>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</si>
  <si>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</si>
  <si>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</si>
  <si>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</si>
  <si>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</si>
  <si>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</si>
  <si>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</si>
  <si>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</si>
  <si>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</si>
  <si>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</si>
  <si>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</si>
  <si>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</si>
  <si>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</si>
  <si>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</si>
  <si>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</si>
  <si>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</si>
  <si>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</si>
  <si>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</si>
  <si>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</si>
  <si>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</si>
  <si>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</si>
  <si>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</si>
  <si>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</si>
  <si>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</si>
  <si>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</si>
  <si>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</si>
  <si>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</si>
  <si>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</si>
  <si>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</si>
  <si>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</si>
  <si>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</si>
  <si>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</si>
  <si>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</si>
  <si>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</si>
  <si>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</si>
  <si>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</si>
  <si>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</si>
  <si>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</si>
  <si>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</si>
  <si>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</si>
  <si>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</si>
  <si>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</si>
  <si>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</si>
  <si>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</si>
  <si>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</si>
  <si>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</si>
  <si>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</si>
  <si>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</si>
  <si>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</si>
  <si>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</si>
  <si>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</si>
  <si>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</si>
  <si>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</si>
  <si>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</si>
  <si>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</si>
  <si>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</si>
  <si>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</si>
  <si>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</si>
  <si>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</si>
  <si>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</si>
  <si>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</si>
  <si>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</si>
  <si>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</si>
  <si>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</si>
  <si>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</si>
  <si>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</si>
  <si>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</si>
  <si>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</si>
  <si>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</si>
  <si>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</si>
  <si>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</si>
  <si>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</si>
  <si>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</si>
  <si>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</si>
  <si>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</si>
  <si>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</si>
  <si>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</si>
  <si>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</si>
  <si>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</si>
  <si>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</si>
  <si>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</si>
  <si>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</si>
  <si>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</si>
  <si>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</si>
  <si>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</si>
  <si>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</si>
  <si>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</si>
  <si>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</si>
  <si>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</si>
  <si>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</si>
  <si>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</si>
  <si>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</si>
  <si>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</si>
  <si>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</si>
  <si>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</si>
  <si>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</si>
  <si>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</si>
  <si>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</si>
  <si>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</si>
  <si>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</si>
  <si>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</si>
  <si>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</si>
  <si>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</si>
  <si>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</si>
  <si>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</si>
  <si>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</si>
  <si>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</si>
  <si>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</si>
  <si>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</si>
  <si>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</si>
  <si>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</si>
  <si>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</si>
  <si>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</si>
  <si>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</si>
  <si>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</si>
  <si>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</si>
  <si>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</si>
  <si>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</si>
  <si>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</si>
  <si>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</si>
  <si>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</si>
  <si>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</si>
  <si>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</si>
  <si>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</si>
  <si>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</si>
  <si>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</si>
  <si>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</si>
  <si>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</si>
  <si>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</si>
  <si>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</si>
  <si>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</si>
  <si>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</si>
  <si>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</si>
  <si>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</si>
  <si>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</si>
  <si>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</si>
  <si>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</si>
  <si>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</si>
  <si>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</si>
  <si>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</si>
  <si>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</si>
  <si>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</si>
  <si>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</si>
  <si>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</si>
  <si>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</si>
  <si>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</si>
  <si>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</si>
  <si>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</si>
  <si>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</si>
  <si>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</si>
  <si>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</si>
  <si>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</si>
  <si>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</si>
  <si>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</si>
  <si>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</si>
  <si>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</si>
  <si>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</si>
  <si>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</si>
  <si>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</si>
  <si>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</si>
  <si>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</si>
  <si>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</si>
  <si>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</si>
  <si>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</si>
  <si>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</si>
  <si>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</si>
  <si>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</si>
  <si>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</si>
  <si>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</si>
  <si>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</si>
  <si>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</si>
  <si>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</si>
  <si>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</si>
  <si>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</si>
  <si>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</si>
  <si>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</si>
  <si>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</si>
  <si>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</si>
  <si>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</si>
  <si>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</si>
  <si>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</si>
  <si>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</si>
  <si>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</si>
  <si>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</si>
  <si>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</si>
  <si>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</si>
  <si>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</si>
  <si>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</si>
  <si>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</si>
  <si>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</si>
  <si>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</si>
  <si>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</si>
  <si>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</si>
  <si>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</si>
  <si>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</si>
  <si>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</si>
  <si>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</si>
  <si>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</si>
  <si>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</si>
  <si>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</si>
  <si>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</si>
  <si>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</si>
  <si>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</si>
  <si>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</si>
  <si>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</si>
  <si>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</si>
  <si>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</si>
  <si>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</si>
  <si>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</si>
  <si>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</si>
  <si>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</si>
  <si>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</si>
  <si>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</si>
  <si>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</si>
  <si>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</si>
  <si>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</si>
  <si>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</si>
  <si>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</si>
  <si>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</si>
  <si>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</si>
  <si>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</si>
  <si>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</si>
  <si>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</si>
  <si>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</si>
  <si>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</si>
  <si>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</si>
  <si>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</si>
  <si>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</si>
  <si>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</si>
  <si>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</si>
  <si>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</si>
  <si>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</si>
  <si>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</si>
  <si>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</si>
  <si>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</si>
  <si>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</si>
  <si>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</si>
  <si>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</si>
  <si>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</si>
  <si>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</si>
  <si>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</si>
  <si>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</si>
  <si>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</si>
  <si>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</si>
  <si>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</si>
  <si>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</si>
  <si>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</si>
  <si>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</si>
  <si>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</si>
  <si>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</si>
  <si>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</si>
  <si>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</si>
  <si>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</si>
  <si>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</si>
  <si>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</si>
  <si>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</si>
  <si>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</si>
  <si>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</si>
  <si>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</si>
  <si>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</si>
  <si>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</si>
  <si>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</si>
  <si>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</si>
  <si>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</si>
  <si>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</si>
  <si>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</si>
  <si>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</si>
  <si>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</si>
  <si>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</si>
  <si>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</si>
  <si>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</si>
  <si>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</si>
  <si>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</si>
  <si>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</si>
  <si>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</si>
  <si>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</si>
  <si>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</si>
  <si>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</si>
  <si>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</si>
  <si>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</si>
  <si>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</si>
  <si>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</si>
  <si>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</si>
  <si>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</si>
  <si>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</si>
  <si>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</si>
  <si>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</si>
  <si>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</si>
  <si>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</si>
  <si>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</si>
  <si>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</si>
  <si>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</si>
  <si>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</si>
  <si>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</si>
  <si>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</si>
  <si>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</si>
  <si>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</si>
  <si>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</si>
  <si>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</si>
  <si>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</si>
  <si>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</si>
  <si>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</si>
  <si>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</si>
  <si>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</si>
  <si>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</si>
  <si>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</si>
  <si>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</si>
  <si>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</si>
  <si>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</si>
  <si>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</si>
  <si>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</si>
  <si>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</si>
  <si>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</si>
  <si>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</si>
  <si>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</si>
  <si>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</si>
  <si>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</si>
  <si>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</si>
  <si>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</si>
  <si>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</si>
  <si>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</si>
  <si>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</si>
  <si>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</si>
  <si>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</si>
  <si>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</si>
  <si>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</si>
  <si>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</si>
  <si>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</si>
  <si>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</si>
  <si>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</si>
  <si>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</si>
  <si>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</si>
  <si>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</si>
  <si>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</si>
  <si>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</si>
  <si>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</si>
  <si>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</si>
  <si>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</si>
  <si>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</si>
  <si>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</si>
  <si>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</si>
  <si>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</si>
  <si>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</si>
  <si>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</si>
  <si>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</si>
  <si>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</si>
  <si>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</si>
  <si>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</si>
  <si>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</si>
  <si>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</si>
  <si>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</si>
  <si>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</si>
  <si>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</si>
  <si>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</si>
  <si>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</si>
  <si>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</si>
  <si>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</si>
  <si>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</si>
  <si>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</si>
  <si>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</si>
  <si>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</si>
  <si>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</si>
  <si>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</si>
  <si>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</si>
  <si>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</si>
  <si>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</si>
  <si>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</si>
  <si>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</si>
  <si>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</si>
  <si>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</si>
  <si>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</si>
  <si>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</si>
  <si>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</si>
  <si>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</si>
  <si>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</si>
  <si>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</si>
  <si>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</si>
  <si>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</si>
  <si>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</si>
  <si>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</si>
  <si>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</si>
  <si>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</si>
  <si>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</si>
  <si>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</si>
  <si>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</si>
  <si>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</si>
  <si>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</si>
  <si>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</si>
  <si>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</si>
  <si>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</si>
  <si>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</si>
  <si>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</si>
  <si>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</si>
  <si>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</si>
  <si>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</si>
  <si>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</si>
  <si>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</si>
  <si>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</si>
  <si>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</si>
  <si>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</si>
  <si>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</si>
  <si>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</si>
  <si>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</si>
  <si>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</si>
  <si>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</si>
  <si>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</si>
  <si>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</si>
  <si>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</si>
  <si>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</si>
  <si>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</si>
  <si>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</si>
  <si>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</si>
  <si>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</si>
  <si>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</si>
  <si>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</si>
  <si>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</si>
  <si>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</si>
  <si>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</si>
  <si>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</si>
  <si>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</si>
  <si>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</si>
  <si>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</si>
  <si>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</si>
  <si>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</si>
  <si>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</si>
  <si>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</si>
  <si>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</si>
  <si>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</si>
  <si>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</si>
  <si>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</si>
  <si>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</si>
  <si>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</si>
  <si>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</si>
  <si>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</si>
  <si>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</si>
  <si>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</si>
  <si>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</si>
  <si>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</si>
  <si>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</si>
  <si>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</si>
  <si>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</si>
  <si>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</si>
  <si>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</si>
  <si>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</si>
  <si>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</si>
  <si>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</si>
  <si>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</si>
  <si>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</si>
  <si>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</si>
  <si>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</si>
  <si>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</si>
  <si>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</si>
  <si>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</si>
  <si>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</si>
  <si>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</si>
  <si>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</si>
  <si>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</si>
  <si>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</si>
  <si>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</si>
  <si>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</si>
  <si>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</si>
  <si>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</si>
  <si>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</si>
  <si>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</si>
  <si>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</si>
  <si>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</si>
  <si>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</si>
  <si>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</si>
  <si>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</si>
  <si>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</si>
  <si>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</si>
  <si>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</si>
  <si>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</si>
  <si>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</si>
  <si>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</si>
  <si>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</si>
  <si>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</si>
  <si>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</si>
  <si>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</si>
  <si>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</si>
  <si>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</si>
  <si>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</si>
  <si>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</si>
  <si>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</si>
  <si>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</si>
  <si>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</si>
  <si>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</si>
  <si>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</si>
  <si>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</si>
  <si>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</si>
  <si>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</si>
  <si>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</si>
  <si>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</si>
  <si>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</si>
  <si>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</si>
  <si>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</si>
  <si>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</si>
  <si>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</si>
  <si>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</si>
  <si>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</si>
  <si>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</si>
  <si>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</si>
  <si>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</si>
  <si>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</si>
  <si>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</si>
  <si>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</si>
  <si>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</si>
  <si>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</si>
  <si>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</si>
  <si>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</si>
  <si>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</si>
  <si>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</si>
  <si>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</si>
  <si>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</si>
  <si>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</si>
  <si>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</si>
  <si>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</si>
  <si>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</si>
  <si>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</si>
  <si>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</si>
  <si>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</si>
  <si>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</si>
  <si>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</si>
  <si>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</si>
  <si>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</si>
  <si>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</si>
  <si>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</si>
  <si>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</si>
  <si>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</si>
  <si>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</si>
  <si>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</si>
  <si>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</si>
  <si>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</si>
  <si>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</si>
  <si>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</si>
  <si>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</si>
  <si>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</si>
  <si>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</si>
  <si>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</si>
  <si>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</si>
  <si>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</si>
  <si>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</si>
  <si>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</si>
  <si>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</si>
  <si>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</si>
  <si>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</si>
  <si>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</si>
  <si>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</si>
  <si>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</si>
  <si>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</si>
  <si>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</si>
  <si>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</si>
  <si>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</si>
  <si>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</si>
  <si>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</si>
  <si>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</si>
  <si>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</si>
  <si>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</si>
  <si>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</si>
  <si>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</si>
  <si>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</si>
  <si>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</si>
  <si>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</si>
  <si>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</si>
  <si>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</si>
  <si>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</si>
  <si>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</si>
  <si>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</si>
  <si>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</si>
  <si>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</si>
  <si>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</si>
  <si>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</si>
  <si>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</si>
  <si>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</si>
  <si>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</si>
  <si>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</si>
  <si>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</si>
  <si>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</si>
  <si>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</si>
  <si>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</si>
  <si>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</si>
  <si>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</si>
  <si>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</si>
  <si>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</si>
  <si>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</si>
  <si>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</si>
  <si>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</si>
  <si>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</si>
  <si>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</si>
  <si>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</si>
  <si>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</si>
  <si>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</si>
  <si>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</si>
  <si>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</si>
  <si>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</si>
  <si>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</si>
  <si>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</si>
  <si>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</si>
  <si>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</si>
  <si>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</si>
  <si>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</si>
  <si>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</si>
  <si>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</si>
  <si>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</si>
  <si>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</si>
  <si>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</si>
  <si>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</si>
  <si>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</si>
  <si>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</si>
  <si>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</si>
  <si>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</si>
  <si>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</si>
  <si>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</si>
  <si>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</si>
  <si>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</si>
  <si>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</si>
  <si>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</si>
  <si>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</si>
  <si>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</si>
  <si>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</si>
  <si>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</si>
  <si>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</si>
  <si>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</si>
  <si>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</si>
  <si>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</si>
  <si>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</si>
  <si>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</si>
  <si>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</si>
  <si>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</si>
  <si>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</si>
  <si>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</si>
  <si>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</si>
  <si>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</si>
  <si>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</si>
  <si>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</si>
  <si>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</si>
  <si>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</si>
  <si>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</si>
  <si>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</si>
  <si>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</si>
  <si>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</si>
  <si>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</si>
  <si>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</si>
  <si>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</si>
  <si>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</si>
  <si>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</si>
  <si>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</si>
  <si>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</si>
  <si>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</si>
  <si>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</si>
  <si>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</si>
  <si>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</si>
  <si>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</si>
  <si>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</si>
  <si>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</si>
  <si>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</si>
  <si>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</si>
  <si>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</si>
  <si>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</si>
  <si>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</si>
  <si>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</si>
  <si>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</si>
  <si>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</si>
  <si>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</si>
  <si>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</si>
  <si>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</si>
  <si>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</si>
  <si>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</si>
  <si>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</si>
  <si>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</si>
  <si>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</si>
  <si>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</si>
  <si>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</si>
  <si>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</si>
  <si>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</si>
  <si>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</si>
  <si>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</si>
  <si>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</si>
  <si>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</si>
  <si>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</si>
  <si>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</si>
  <si>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</si>
  <si>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</si>
  <si>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</si>
  <si>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</si>
  <si>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</si>
  <si>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</si>
  <si>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</si>
  <si>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</si>
  <si>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</si>
  <si>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</si>
  <si>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</si>
  <si>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</si>
  <si>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</si>
  <si>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</si>
  <si>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</si>
  <si>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</si>
  <si>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</si>
  <si>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</si>
  <si>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</si>
  <si>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</si>
  <si>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</si>
  <si>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</si>
  <si>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</si>
  <si>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</si>
  <si>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</si>
  <si>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</si>
  <si>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</si>
  <si>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</si>
  <si>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</si>
  <si>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</si>
  <si>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</si>
  <si>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</si>
  <si>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</si>
  <si>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</si>
  <si>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</si>
  <si>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</si>
  <si>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</si>
  <si>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</si>
  <si>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</si>
  <si>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</si>
  <si>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</si>
  <si>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</si>
  <si>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</si>
  <si>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</si>
  <si>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</si>
  <si>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</si>
  <si>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</si>
  <si>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</si>
  <si>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</si>
  <si>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</si>
  <si>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</si>
  <si>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</si>
  <si>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</si>
  <si>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</si>
  <si>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</si>
  <si>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</si>
  <si>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</si>
  <si>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</si>
  <si>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</si>
  <si>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</si>
  <si>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</si>
  <si>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</si>
  <si>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</si>
  <si>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</si>
  <si>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</si>
  <si>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</si>
  <si>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</si>
  <si>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</si>
  <si>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</si>
  <si>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</si>
  <si>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</si>
  <si>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</si>
  <si>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</si>
  <si>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</si>
  <si>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</si>
  <si>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</si>
  <si>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</si>
  <si>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</si>
  <si>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</si>
  <si>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</si>
  <si>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</si>
  <si>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</si>
  <si>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</si>
  <si>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</si>
  <si>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</si>
  <si>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</si>
  <si>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</si>
  <si>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</si>
  <si>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</si>
  <si>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</si>
  <si>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</si>
  <si>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</si>
  <si>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</si>
  <si>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</si>
  <si>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</si>
  <si>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</si>
  <si>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</si>
  <si>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</si>
  <si>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</si>
  <si>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</si>
  <si>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</si>
  <si>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</si>
  <si>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</si>
  <si>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</si>
  <si>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</si>
  <si>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</si>
  <si>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</si>
  <si>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</si>
  <si>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</si>
  <si>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</si>
  <si>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</si>
  <si>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</si>
  <si>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</si>
  <si>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</si>
  <si>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</si>
  <si>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</si>
  <si>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</si>
  <si>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</si>
  <si>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</si>
  <si>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</si>
  <si>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</si>
  <si>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</si>
  <si>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</si>
  <si>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</si>
  <si>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</si>
  <si>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</si>
  <si>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</si>
  <si>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</si>
  <si>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</si>
  <si>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</si>
  <si>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</si>
  <si>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</si>
  <si>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</si>
  <si>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</si>
  <si>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</si>
  <si>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</si>
  <si>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</si>
  <si>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</si>
  <si>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</si>
  <si>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</si>
  <si>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</si>
  <si>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</si>
  <si>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</si>
  <si>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</si>
  <si>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</si>
  <si>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</si>
  <si>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</si>
  <si>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</si>
  <si>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</si>
  <si>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</si>
  <si>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</si>
  <si>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</si>
  <si>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</si>
  <si>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</si>
  <si>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</si>
  <si>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</si>
  <si>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</si>
  <si>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</si>
  <si>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</si>
  <si>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</si>
  <si>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</si>
  <si>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</si>
  <si>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</si>
  <si>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</si>
  <si>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</si>
  <si>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</si>
  <si>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</si>
  <si>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</si>
  <si>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</si>
  <si>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</si>
  <si>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</si>
  <si>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</si>
  <si>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</si>
  <si>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</si>
  <si>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</si>
  <si>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</si>
  <si>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</si>
  <si>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</si>
  <si>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</si>
  <si>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</si>
  <si>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</si>
  <si>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</si>
  <si>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</si>
  <si>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</si>
  <si>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</si>
  <si>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</si>
  <si>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</si>
  <si>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</si>
  <si>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</si>
  <si>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</si>
  <si>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</si>
  <si>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</si>
  <si>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</si>
  <si>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</si>
  <si>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</si>
  <si>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</si>
  <si>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</si>
  <si>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</si>
  <si>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</si>
  <si>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</si>
  <si>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</si>
  <si>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</si>
  <si>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</si>
  <si>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</si>
  <si>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</si>
  <si>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</si>
  <si>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</si>
  <si>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</si>
  <si>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</si>
  <si>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</si>
  <si>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</si>
  <si>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</si>
  <si>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</si>
  <si>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</si>
  <si>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</si>
  <si>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</si>
  <si>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</si>
  <si>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</si>
  <si>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</si>
  <si>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</si>
  <si>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</si>
  <si>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</si>
  <si>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</si>
  <si>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</si>
  <si>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</si>
  <si>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</si>
  <si>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</si>
  <si>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</si>
  <si>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</si>
  <si>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</si>
  <si>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</si>
  <si>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</si>
  <si>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</si>
  <si>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</si>
  <si>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</si>
  <si>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</si>
  <si>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</si>
  <si>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</si>
  <si>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</si>
  <si>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</si>
  <si>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</si>
  <si>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</si>
  <si>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</si>
  <si>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</si>
  <si>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</si>
  <si>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</si>
  <si>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</si>
  <si>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</si>
  <si>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</si>
  <si>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</si>
  <si>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</si>
  <si>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</si>
  <si>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</si>
  <si>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</si>
  <si>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</si>
  <si>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</si>
  <si>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</si>
  <si>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</si>
  <si>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</si>
  <si>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</si>
  <si>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</si>
  <si>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</si>
  <si>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</si>
  <si>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</si>
  <si>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</si>
  <si>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</si>
  <si>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</si>
  <si>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</si>
  <si>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</si>
  <si>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</si>
  <si>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</si>
  <si>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</si>
  <si>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</si>
  <si>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</si>
  <si>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</si>
  <si>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</si>
  <si>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</si>
  <si>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</si>
  <si>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</si>
  <si>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</si>
  <si>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</si>
  <si>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</si>
  <si>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</si>
  <si>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</si>
  <si>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</si>
  <si>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</si>
  <si>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</si>
  <si>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</si>
  <si>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</si>
  <si>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</si>
  <si>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</si>
  <si>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</si>
  <si>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</si>
  <si>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</si>
  <si>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</si>
  <si>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</si>
  <si>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</si>
  <si>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</si>
  <si>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</si>
  <si>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</si>
  <si>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</si>
  <si>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</si>
  <si>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</si>
  <si>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</si>
  <si>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</si>
  <si>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</si>
  <si>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</si>
  <si>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</si>
  <si>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</si>
  <si>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</si>
  <si>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</si>
  <si>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</si>
  <si>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</si>
  <si>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</si>
  <si>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</si>
  <si>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</si>
  <si>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</si>
  <si>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</si>
  <si>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</si>
  <si>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</si>
  <si>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</si>
  <si>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</si>
  <si>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</si>
  <si>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</si>
  <si>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</si>
  <si>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</si>
  <si>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</si>
  <si>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</si>
  <si>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</si>
  <si>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</si>
  <si>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</si>
  <si>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</si>
  <si>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</si>
  <si>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</si>
  <si>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</si>
  <si>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</si>
  <si>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</si>
  <si>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</si>
  <si>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</si>
  <si>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</si>
  <si>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</si>
  <si>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Elmo motion control </t>
  </si>
  <si>
    <t>www.elmomc.com</t>
  </si>
  <si>
    <t>60 amal street,Petach Tikva, Isare</t>
  </si>
  <si>
    <t xml:space="preserve">Yaron Ohana </t>
  </si>
  <si>
    <t>+972545655367</t>
  </si>
  <si>
    <t xml:space="preserve">Yarono@elmomc.com </t>
  </si>
  <si>
    <t xml:space="preserve">Quality&amp;HSE Manager </t>
  </si>
  <si>
    <t xml:space="preserve">&lt;95% where indentified </t>
  </si>
  <si>
    <t xml:space="preserve">www.elmomc.com </t>
  </si>
  <si>
    <t>CFSI</t>
  </si>
  <si>
    <t>Panamericana Sur Km. 240</t>
  </si>
  <si>
    <t>Jose Ore</t>
  </si>
  <si>
    <t xml:space="preserve"> jose.ore@minsur.com</t>
  </si>
  <si>
    <t>Peru</t>
  </si>
  <si>
    <t>Metallo-Chimique N.V.</t>
  </si>
  <si>
    <t>Nieuwe Dreef 33</t>
  </si>
  <si>
    <t>Mr. Van Loon</t>
  </si>
  <si>
    <t>mark.vanloo@metallo.com</t>
  </si>
  <si>
    <t>recycled</t>
  </si>
  <si>
    <t/>
  </si>
  <si>
    <t>ul. Strefowa 13</t>
  </si>
  <si>
    <t>Subcarpathian Voivodeship</t>
  </si>
  <si>
    <t>Mr. P.Kupiec</t>
  </si>
  <si>
    <t>p.kuoiec@fenixmetaqls.com</t>
  </si>
  <si>
    <t>Hamburg State</t>
  </si>
  <si>
    <t>Metalor Technologies SA</t>
  </si>
  <si>
    <t>Route des Perveuils 8</t>
  </si>
  <si>
    <t>2074 Marin-Epagnier</t>
  </si>
  <si>
    <t>Antoine de Montmollin</t>
  </si>
  <si>
    <t>Antoine.DeMontmollin@metalor.com</t>
  </si>
  <si>
    <t>-</t>
  </si>
  <si>
    <t>Recycled or scrap</t>
  </si>
  <si>
    <t>Jinhui Road</t>
  </si>
  <si>
    <t>Shandong</t>
  </si>
  <si>
    <t>Mr. Tian</t>
  </si>
  <si>
    <t>zjjt@zhaojin.com.cn</t>
  </si>
  <si>
    <t>Datun</t>
  </si>
  <si>
    <t>Geiju</t>
  </si>
  <si>
    <t>Yunnan</t>
  </si>
  <si>
    <t>杜洪武</t>
  </si>
  <si>
    <t>yhdhw@163.com</t>
  </si>
  <si>
    <t>DATUN Tin Mine</t>
  </si>
  <si>
    <t>CHINA Yunnan Province</t>
  </si>
  <si>
    <t>CID000456</t>
  </si>
  <si>
    <t>Exotech Inc.</t>
  </si>
  <si>
    <t>UNITED STATES</t>
  </si>
  <si>
    <t>Pompano Beach</t>
  </si>
  <si>
    <t>COMPLIANT 08/26/2016</t>
  </si>
  <si>
    <t>Guangdong</t>
  </si>
  <si>
    <t>CID002547</t>
  </si>
  <si>
    <t>H.C. Starck Hermsdorf GmbH</t>
  </si>
  <si>
    <t>Hermsdorf</t>
  </si>
  <si>
    <t>Thuringia</t>
  </si>
  <si>
    <t xml:space="preserve">Song Wang
</t>
  </si>
  <si>
    <t xml:space="preserve">ytszjx@163.com </t>
  </si>
  <si>
    <t>Datun Tin Mine of Yunnan Tin Co.,Ltd</t>
  </si>
  <si>
    <t>China</t>
  </si>
  <si>
    <t>Hunan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</si>
</sst>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8" fillId="0" borderId="0" applyNumberFormat="0" applyFill="0" applyBorder="0" applyAlignment="0" applyProtection="0">
      <alignment vertical="top"/>
      <protection locked="0"/>
    </xf>
  </cellStyleXfs>
  <cellXfs count="40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0" borderId="56" xfId="0" applyFont="1"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xf>
    <xf numFmtId="0" fontId="28" fillId="0" borderId="0" xfId="0" applyFont="1" applyFill="1" applyBorder="1" applyAlignment="1" applyProtection="1">
      <alignment vertical="center" wrapText="1"/>
      <protection locked="0"/>
    </xf>
    <xf numFmtId="0" fontId="0" fillId="0" borderId="0" xfId="0" applyFill="1" applyAlignment="1" applyProtection="1">
      <alignment vertical="center" wrapText="1"/>
      <protection locked="0"/>
    </xf>
    <xf numFmtId="0" fontId="0" fillId="0" borderId="19" xfId="0" applyFont="1" applyBorder="1" applyAlignment="1" applyProtection="1">
      <alignmen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6 2" xfId="5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uality/Quality%20Center/Standards%20Certifications/Elmo%20RMI_CMRT_6.01%2009%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elmomc.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elmomc.com/" TargetMode="External"/><Relationship Id="rId5" Type="http://schemas.openxmlformats.org/officeDocument/2006/relationships/hyperlink" Target="mailto:Yarono@elmomc.com" TargetMode="External"/><Relationship Id="rId10" Type="http://schemas.openxmlformats.org/officeDocument/2006/relationships/comments" Target="../comments1.xml"/><Relationship Id="rId4" Type="http://schemas.openxmlformats.org/officeDocument/2006/relationships/hyperlink" Target="mailto:Yarono@elmomc.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29"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311" t="s">
        <v>1084</v>
      </c>
      <c r="D15" s="314" t="s">
        <v>2246</v>
      </c>
      <c r="E15" s="164" t="s">
        <v>614</v>
      </c>
      <c r="F15" s="164" t="s">
        <v>617</v>
      </c>
      <c r="G15" s="25"/>
    </row>
    <row r="16" spans="1:7" ht="99" customHeight="1">
      <c r="A16" s="302"/>
      <c r="B16" s="309"/>
      <c r="C16" s="312"/>
      <c r="D16" s="315"/>
      <c r="E16" s="165"/>
      <c r="F16" s="165" t="s">
        <v>615</v>
      </c>
      <c r="G16" s="25"/>
    </row>
    <row r="17" spans="1:7" ht="63" customHeight="1">
      <c r="A17" s="302"/>
      <c r="B17" s="310"/>
      <c r="C17" s="313"/>
      <c r="D17" s="316"/>
      <c r="E17" s="27"/>
      <c r="F17" s="27" t="s">
        <v>616</v>
      </c>
      <c r="G17" s="25"/>
    </row>
    <row r="18" spans="1:7" ht="117" customHeight="1">
      <c r="A18" s="302"/>
      <c r="B18" s="308">
        <v>2.02</v>
      </c>
      <c r="C18" s="311" t="s">
        <v>1084</v>
      </c>
      <c r="D18" s="314" t="s">
        <v>2247</v>
      </c>
      <c r="E18" s="164" t="s">
        <v>439</v>
      </c>
      <c r="F18" s="164" t="s">
        <v>525</v>
      </c>
      <c r="G18" s="25"/>
    </row>
    <row r="19" spans="1:7" ht="71.150000000000006" customHeight="1">
      <c r="A19" s="302"/>
      <c r="B19" s="309"/>
      <c r="C19" s="312"/>
      <c r="D19" s="315"/>
      <c r="E19" s="165" t="s">
        <v>529</v>
      </c>
      <c r="F19" s="165" t="s">
        <v>440</v>
      </c>
      <c r="G19" s="25"/>
    </row>
    <row r="20" spans="1:7" ht="90.75" customHeight="1">
      <c r="A20" s="302"/>
      <c r="B20" s="309"/>
      <c r="C20" s="312"/>
      <c r="D20" s="315"/>
      <c r="E20" s="165"/>
      <c r="F20" s="165" t="s">
        <v>619</v>
      </c>
      <c r="G20" s="25"/>
    </row>
    <row r="21" spans="1:7" ht="74.25" customHeight="1">
      <c r="A21" s="302"/>
      <c r="B21" s="310"/>
      <c r="C21" s="313"/>
      <c r="D21" s="316"/>
      <c r="E21" s="27"/>
      <c r="F21" s="27" t="s">
        <v>618</v>
      </c>
      <c r="G21" s="25"/>
    </row>
    <row r="22" spans="1:7" ht="90" customHeight="1">
      <c r="A22" s="302"/>
      <c r="B22" s="320">
        <v>2.0299999999999998</v>
      </c>
      <c r="C22" s="320" t="s">
        <v>818</v>
      </c>
      <c r="D22" s="323" t="s">
        <v>2248</v>
      </c>
      <c r="E22" s="311" t="s">
        <v>437</v>
      </c>
      <c r="F22" s="164" t="s">
        <v>460</v>
      </c>
      <c r="G22" s="25"/>
    </row>
    <row r="23" spans="1:7" ht="109.5" customHeight="1">
      <c r="A23" s="302"/>
      <c r="B23" s="321"/>
      <c r="C23" s="321"/>
      <c r="D23" s="324"/>
      <c r="E23" s="312"/>
      <c r="F23" s="165" t="s">
        <v>819</v>
      </c>
      <c r="G23" s="25"/>
    </row>
    <row r="24" spans="1:7" ht="74.25" customHeight="1">
      <c r="A24" s="302"/>
      <c r="B24" s="322"/>
      <c r="C24" s="322"/>
      <c r="D24" s="325"/>
      <c r="E24" s="313"/>
      <c r="F24" s="27" t="s">
        <v>436</v>
      </c>
      <c r="G24" s="25"/>
    </row>
    <row r="25" spans="1:7" ht="72" customHeight="1">
      <c r="A25" s="302"/>
      <c r="B25" s="2" t="s">
        <v>458</v>
      </c>
      <c r="C25" s="27" t="s">
        <v>459</v>
      </c>
      <c r="D25" s="28" t="s">
        <v>2249</v>
      </c>
      <c r="E25" s="27" t="s">
        <v>2244</v>
      </c>
      <c r="F25" s="27" t="s">
        <v>461</v>
      </c>
      <c r="G25" s="25"/>
    </row>
    <row r="26" spans="1:7" ht="98.15" customHeight="1">
      <c r="A26" s="302"/>
      <c r="B26" s="317">
        <v>3</v>
      </c>
      <c r="C26" s="308" t="s">
        <v>70</v>
      </c>
      <c r="D26" s="314" t="s">
        <v>2250</v>
      </c>
      <c r="E26" s="311" t="s">
        <v>0</v>
      </c>
      <c r="F26" s="164" t="s">
        <v>64</v>
      </c>
      <c r="G26" s="25"/>
    </row>
    <row r="27" spans="1:7" ht="90" customHeight="1">
      <c r="A27" s="302"/>
      <c r="B27" s="318"/>
      <c r="C27" s="309"/>
      <c r="D27" s="315"/>
      <c r="E27" s="312"/>
      <c r="F27" s="165" t="s">
        <v>59</v>
      </c>
      <c r="G27" s="25"/>
    </row>
    <row r="28" spans="1:7" ht="19.399999999999999" customHeight="1">
      <c r="A28" s="302"/>
      <c r="B28" s="318"/>
      <c r="C28" s="309"/>
      <c r="D28" s="315"/>
      <c r="E28" s="312"/>
      <c r="F28" s="165" t="s">
        <v>60</v>
      </c>
      <c r="G28" s="25"/>
    </row>
    <row r="29" spans="1:7" ht="74.5" customHeight="1">
      <c r="A29" s="302"/>
      <c r="B29" s="318"/>
      <c r="C29" s="309"/>
      <c r="D29" s="315"/>
      <c r="E29" s="312"/>
      <c r="F29" s="165" t="s">
        <v>61</v>
      </c>
      <c r="G29" s="25"/>
    </row>
    <row r="30" spans="1:7" ht="62.5" customHeight="1">
      <c r="A30" s="302"/>
      <c r="B30" s="318"/>
      <c r="C30" s="309"/>
      <c r="D30" s="315"/>
      <c r="E30" s="312"/>
      <c r="F30" s="165" t="s">
        <v>62</v>
      </c>
      <c r="G30" s="25"/>
    </row>
    <row r="31" spans="1:7" ht="81" customHeight="1">
      <c r="A31" s="302"/>
      <c r="B31" s="318"/>
      <c r="C31" s="309"/>
      <c r="D31" s="315"/>
      <c r="E31" s="312"/>
      <c r="F31" s="165" t="s">
        <v>63</v>
      </c>
      <c r="G31" s="25"/>
    </row>
    <row r="32" spans="1:7" ht="48.75" customHeight="1">
      <c r="A32" s="302"/>
      <c r="B32" s="318"/>
      <c r="C32" s="309"/>
      <c r="D32" s="315"/>
      <c r="E32" s="312"/>
      <c r="F32" s="165" t="s">
        <v>66</v>
      </c>
      <c r="G32" s="25"/>
    </row>
    <row r="33" spans="1:7" ht="98.5" customHeight="1">
      <c r="A33" s="302"/>
      <c r="B33" s="318"/>
      <c r="C33" s="309"/>
      <c r="D33" s="315"/>
      <c r="E33" s="312"/>
      <c r="F33" s="165" t="s">
        <v>65</v>
      </c>
      <c r="G33" s="25"/>
    </row>
    <row r="34" spans="1:7" ht="89.15" customHeight="1">
      <c r="A34" s="302"/>
      <c r="B34" s="318"/>
      <c r="C34" s="309"/>
      <c r="D34" s="315"/>
      <c r="E34" s="312"/>
      <c r="F34" s="165" t="s">
        <v>67</v>
      </c>
      <c r="G34" s="25"/>
    </row>
    <row r="35" spans="1:7" ht="29.15" customHeight="1">
      <c r="A35" s="302"/>
      <c r="B35" s="318"/>
      <c r="C35" s="309"/>
      <c r="D35" s="315"/>
      <c r="E35" s="312"/>
      <c r="F35" s="165" t="s">
        <v>68</v>
      </c>
      <c r="G35" s="25"/>
    </row>
    <row r="36" spans="1:7" ht="111">
      <c r="A36" s="302"/>
      <c r="B36" s="319"/>
      <c r="C36" s="310"/>
      <c r="D36" s="316"/>
      <c r="E36" s="313"/>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4" customHeight="1">
      <c r="A3" s="74"/>
      <c r="B3" s="63" t="str">
        <f ca="1">OFFSET(L!$C$1,MATCH("Definitions"&amp;ADDRESS(ROW(),COLUMN(),4),L!$A:$A,0)-1,SL,,)</f>
        <v>3TG</v>
      </c>
      <c r="C3" s="63" t="str">
        <f ca="1">OFFSET(L!$C$1,MATCH("Definitions"&amp;ADDRESS(ROW(),COLUMN(),4),L!$A:$A,0)-1,SL,,)</f>
        <v>Tantalum, tin, tungsten, gold</v>
      </c>
      <c r="D3" s="33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1308</v>
      </c>
    </row>
    <row r="10" spans="1:5" ht="45">
      <c r="A10" s="74"/>
      <c r="B10" s="63" t="str">
        <f ca="1">OFFSET(L!$C$1,MATCH("Definitions"&amp;ADDRESS(ROW(),COLUMN(),4),L!$A:$A,0)-1,SL,,)</f>
        <v>DRC</v>
      </c>
      <c r="C10" s="63" t="str">
        <f ca="1">OFFSET(L!$C$1,MATCH("Definitions"&amp;ADDRESS(ROW(),COLUMN(),4),L!$A:$A,0)-1,SL,,)</f>
        <v>Democratic Republic of Congo</v>
      </c>
      <c r="D10" s="33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0"/>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3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5">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30"/>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0"/>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0"/>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0"/>
      <c r="E31" s="100"/>
    </row>
    <row r="32" spans="1:5" ht="15">
      <c r="A32" s="74"/>
      <c r="B32" s="329" t="str">
        <f ca="1">OFFSET(L!$C$1,MATCH("General"&amp;"Cpy",L!$A:$A,0)-1,SL,,)</f>
        <v>© 2023 Responsible Minerals Initiative. All rights reserved.</v>
      </c>
      <c r="C32" s="329"/>
      <c r="D32" s="330"/>
      <c r="E32" s="100"/>
    </row>
    <row r="33" spans="1:4" ht="14" thickBot="1">
      <c r="A33" s="75"/>
      <c r="B33" s="153"/>
      <c r="C33" s="153"/>
      <c r="D33" s="331"/>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81" sqref="G81:J8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4"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6" t="s">
        <v>15795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2" t="str">
        <f ca="1">OFFSET(L!$C$1,MATCH("Declaration"&amp;ADDRESS(ROW(),COLUMN(),4)&amp;LEFT($D$9,1),L!$A:$A,0)-1,SL,,)</f>
        <v>Description of Scope:</v>
      </c>
      <c r="C10" s="122"/>
      <c r="D10" s="360" t="s">
        <v>15796</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3"/>
      <c r="C11" s="122"/>
      <c r="D11" s="379" t="str">
        <f ca="1">IF(D9=Q9,OFFSET(L!$C$1,MATCH("Declaration"&amp;ADDRESS(ROW(),COLUMN(),4),L!$A:$A,0)-1,SL,,),"")</f>
        <v/>
      </c>
      <c r="E11" s="380"/>
      <c r="F11" s="380"/>
      <c r="G11" s="380"/>
      <c r="H11" s="380"/>
      <c r="I11" s="380"/>
      <c r="J11" s="381"/>
      <c r="K11" s="36"/>
      <c r="L11" s="115"/>
      <c r="Q11" s="3"/>
      <c r="R11" s="3"/>
      <c r="S11" s="3"/>
      <c r="T11" s="3"/>
      <c r="U11" s="3"/>
      <c r="V11" s="3"/>
      <c r="W11" s="3"/>
      <c r="X11" s="3"/>
      <c r="Y11" s="3"/>
      <c r="Z11" s="3"/>
      <c r="AA11" s="3"/>
      <c r="AB11" s="3"/>
      <c r="AC11" s="3"/>
      <c r="AD11" s="3"/>
      <c r="AE11" s="3"/>
      <c r="AF11" s="3"/>
      <c r="AG11" s="3"/>
      <c r="AH11" s="3"/>
    </row>
    <row r="12" spans="1:34" ht="15" customHeight="1">
      <c r="A12" s="38"/>
      <c r="B12" s="40" t="str">
        <f ca="1">OFFSET(L!$C$1,MATCH("Declaration"&amp;ADDRESS(ROW(),COLUMN(),4),L!$A:$A,0)-1,SL,,)</f>
        <v>Company Unique ID:</v>
      </c>
      <c r="C12" s="77"/>
      <c r="D12" s="277"/>
      <c r="E12" s="277"/>
      <c r="F12" s="277"/>
      <c r="G12" s="277"/>
      <c r="H12" s="277"/>
      <c r="I12" s="277"/>
      <c r="J12" s="277"/>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63"/>
      <c r="E13" s="364"/>
      <c r="F13" s="364"/>
      <c r="G13" s="364"/>
      <c r="H13" s="364"/>
      <c r="I13" s="364"/>
      <c r="J13" s="36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84" t="s">
        <v>15797</v>
      </c>
      <c r="E14" s="385"/>
      <c r="F14" s="385"/>
      <c r="G14" s="385"/>
      <c r="H14" s="385"/>
      <c r="I14" s="385"/>
      <c r="J14" s="38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63" t="s">
        <v>15798</v>
      </c>
      <c r="E15" s="364"/>
      <c r="F15" s="364"/>
      <c r="G15" s="364"/>
      <c r="H15" s="364"/>
      <c r="I15" s="364"/>
      <c r="J15" s="36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3" t="s">
        <v>15800</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32" t="s">
        <v>15799</v>
      </c>
      <c r="E17" s="333"/>
      <c r="F17" s="333"/>
      <c r="G17" s="333"/>
      <c r="H17" s="333"/>
      <c r="I17" s="333"/>
      <c r="J17" s="334"/>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277" t="s">
        <v>15798</v>
      </c>
      <c r="E18" s="277"/>
      <c r="F18" s="277"/>
      <c r="G18" s="277"/>
      <c r="H18" s="277"/>
      <c r="I18" s="277"/>
      <c r="J18" s="277"/>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63" t="s">
        <v>15801</v>
      </c>
      <c r="E19" s="364"/>
      <c r="F19" s="364"/>
      <c r="G19" s="364"/>
      <c r="H19" s="364"/>
      <c r="I19" s="364"/>
      <c r="J19" s="36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4" t="s">
        <v>15800</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32" t="s">
        <v>15799</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7">
        <v>45172</v>
      </c>
      <c r="E22" s="33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87"/>
      <c r="E23" s="38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9" t="str">
        <f ca="1">OFFSET(L!$C$1,MATCH("Declaration"&amp;ADDRESS(ROW(),COLUMN(),4),L!$A:$A,0)-1,SL,,)</f>
        <v>Answer the following questions 1 - 8 based on the declaration scope indicated above</v>
      </c>
      <c r="C24" s="339"/>
      <c r="D24" s="339"/>
      <c r="E24" s="339"/>
      <c r="F24" s="339"/>
      <c r="G24" s="339"/>
      <c r="H24" s="339"/>
      <c r="I24" s="339"/>
      <c r="J24" s="33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6" t="str">
        <f ca="1">OFFSET(L!$C$1,MATCH("Declaration"&amp;ADDRESS(ROW(),COLUMN(),4),L!$A:$A,0)-1,SL,,)</f>
        <v>Answer</v>
      </c>
      <c r="E25" s="34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35" t="s">
        <v>488</v>
      </c>
      <c r="E26" s="336"/>
      <c r="F26" s="12"/>
      <c r="G26" s="343"/>
      <c r="H26" s="344"/>
      <c r="I26" s="344"/>
      <c r="J26" s="34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5" t="s">
        <v>488</v>
      </c>
      <c r="E27" s="336"/>
      <c r="F27" s="12"/>
      <c r="G27" s="343"/>
      <c r="H27" s="344"/>
      <c r="I27" s="344"/>
      <c r="J27" s="34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5" t="s">
        <v>488</v>
      </c>
      <c r="E28" s="336"/>
      <c r="F28" s="12"/>
      <c r="G28" s="343"/>
      <c r="H28" s="344"/>
      <c r="I28" s="344"/>
      <c r="J28" s="34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35" t="s">
        <v>489</v>
      </c>
      <c r="E29" s="336"/>
      <c r="F29" s="12"/>
      <c r="G29" s="343"/>
      <c r="H29" s="344"/>
      <c r="I29" s="344"/>
      <c r="J29" s="34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1" t="s">
        <v>488</v>
      </c>
      <c r="E32" s="342"/>
      <c r="F32" s="47"/>
      <c r="G32" s="343"/>
      <c r="H32" s="344"/>
      <c r="I32" s="344"/>
      <c r="J32" s="34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5" t="s">
        <v>488</v>
      </c>
      <c r="E33" s="336"/>
      <c r="F33" s="47"/>
      <c r="G33" s="343"/>
      <c r="H33" s="344"/>
      <c r="I33" s="344"/>
      <c r="J33" s="34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5" t="s">
        <v>488</v>
      </c>
      <c r="E34" s="336"/>
      <c r="F34" s="47"/>
      <c r="G34" s="343"/>
      <c r="H34" s="344"/>
      <c r="I34" s="344"/>
      <c r="J34" s="34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35"/>
      <c r="E35" s="336"/>
      <c r="F35" s="47"/>
      <c r="G35" s="343"/>
      <c r="H35" s="344"/>
      <c r="I35" s="344"/>
      <c r="J35" s="34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83"/>
      <c r="I37" s="383"/>
      <c r="J37" s="383"/>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35" t="s">
        <v>489</v>
      </c>
      <c r="E38" s="336"/>
      <c r="F38" s="47"/>
      <c r="G38" s="343"/>
      <c r="H38" s="344"/>
      <c r="I38" s="344"/>
      <c r="J38" s="34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5" t="s">
        <v>489</v>
      </c>
      <c r="E39" s="336"/>
      <c r="F39" s="47"/>
      <c r="G39" s="343"/>
      <c r="H39" s="344"/>
      <c r="I39" s="344"/>
      <c r="J39" s="34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5" t="s">
        <v>489</v>
      </c>
      <c r="E40" s="336"/>
      <c r="F40" s="47"/>
      <c r="G40" s="343"/>
      <c r="H40" s="344"/>
      <c r="I40" s="344"/>
      <c r="J40" s="34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35"/>
      <c r="E41" s="336"/>
      <c r="F41" s="47"/>
      <c r="G41" s="343"/>
      <c r="H41" s="344"/>
      <c r="I41" s="344"/>
      <c r="J41" s="34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35" t="s">
        <v>489</v>
      </c>
      <c r="E44" s="336"/>
      <c r="F44" s="47"/>
      <c r="G44" s="343"/>
      <c r="H44" s="344"/>
      <c r="I44" s="344"/>
      <c r="J44" s="34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5" t="s">
        <v>489</v>
      </c>
      <c r="E45" s="336"/>
      <c r="F45" s="47"/>
      <c r="G45" s="343"/>
      <c r="H45" s="344"/>
      <c r="I45" s="344"/>
      <c r="J45" s="34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5" t="s">
        <v>180</v>
      </c>
      <c r="E46" s="336"/>
      <c r="F46" s="47"/>
      <c r="G46" s="343"/>
      <c r="H46" s="344"/>
      <c r="I46" s="344"/>
      <c r="J46" s="34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5"/>
      <c r="E47" s="336"/>
      <c r="F47" s="47"/>
      <c r="G47" s="343"/>
      <c r="H47" s="344"/>
      <c r="I47" s="344"/>
      <c r="J47" s="34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35" t="s">
        <v>489</v>
      </c>
      <c r="E50" s="336"/>
      <c r="F50" s="47"/>
      <c r="G50" s="343"/>
      <c r="H50" s="344"/>
      <c r="I50" s="344"/>
      <c r="J50" s="34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5" t="s">
        <v>489</v>
      </c>
      <c r="E51" s="336"/>
      <c r="F51" s="47"/>
      <c r="G51" s="343"/>
      <c r="H51" s="344"/>
      <c r="I51" s="344"/>
      <c r="J51" s="34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5" t="s">
        <v>489</v>
      </c>
      <c r="E52" s="336"/>
      <c r="F52" s="47"/>
      <c r="G52" s="343"/>
      <c r="H52" s="344"/>
      <c r="I52" s="344"/>
      <c r="J52" s="34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35"/>
      <c r="E53" s="336"/>
      <c r="F53" s="47"/>
      <c r="G53" s="343"/>
      <c r="H53" s="344"/>
      <c r="I53" s="344"/>
      <c r="J53" s="34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77" t="s">
        <v>2480</v>
      </c>
      <c r="E56" s="378"/>
      <c r="F56" s="47"/>
      <c r="G56" s="343"/>
      <c r="H56" s="344"/>
      <c r="I56" s="344"/>
      <c r="J56" s="34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7" t="s">
        <v>2480</v>
      </c>
      <c r="E57" s="378"/>
      <c r="F57" s="47"/>
      <c r="G57" s="343"/>
      <c r="H57" s="344"/>
      <c r="I57" s="344"/>
      <c r="J57" s="34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7" t="s">
        <v>2480</v>
      </c>
      <c r="E58" s="378"/>
      <c r="F58" s="47"/>
      <c r="G58" s="343"/>
      <c r="H58" s="344"/>
      <c r="I58" s="344"/>
      <c r="J58" s="34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77"/>
      <c r="E59" s="378"/>
      <c r="F59" s="47"/>
      <c r="G59" s="343"/>
      <c r="H59" s="344"/>
      <c r="I59" s="344"/>
      <c r="J59" s="34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82"/>
      <c r="I61" s="382"/>
      <c r="J61" s="38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1" t="s">
        <v>488</v>
      </c>
      <c r="E62" s="342"/>
      <c r="F62" s="47"/>
      <c r="G62" s="343"/>
      <c r="H62" s="344"/>
      <c r="I62" s="344"/>
      <c r="J62" s="34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5" t="s">
        <v>488</v>
      </c>
      <c r="E63" s="336"/>
      <c r="F63" s="47"/>
      <c r="G63" s="343"/>
      <c r="H63" s="344"/>
      <c r="I63" s="344"/>
      <c r="J63" s="34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5" t="s">
        <v>488</v>
      </c>
      <c r="E64" s="336"/>
      <c r="F64" s="47"/>
      <c r="G64" s="343"/>
      <c r="H64" s="344"/>
      <c r="I64" s="344"/>
      <c r="J64" s="34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35"/>
      <c r="E65" s="336"/>
      <c r="F65" s="47"/>
      <c r="G65" s="343"/>
      <c r="H65" s="344"/>
      <c r="I65" s="344"/>
      <c r="J65" s="34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82" t="str">
        <f>IF(Q75="(*)","Click here to enter smelter names","")</f>
        <v/>
      </c>
      <c r="I67" s="382"/>
      <c r="J67" s="38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35" t="s">
        <v>489</v>
      </c>
      <c r="E68" s="336"/>
      <c r="F68" s="48"/>
      <c r="G68" s="343" t="s">
        <v>15802</v>
      </c>
      <c r="H68" s="344"/>
      <c r="I68" s="344"/>
      <c r="J68" s="34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5" t="s">
        <v>489</v>
      </c>
      <c r="E69" s="336"/>
      <c r="F69" s="48"/>
      <c r="G69" s="343" t="s">
        <v>15802</v>
      </c>
      <c r="H69" s="344"/>
      <c r="I69" s="344"/>
      <c r="J69" s="34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5" t="s">
        <v>489</v>
      </c>
      <c r="E70" s="336"/>
      <c r="F70" s="48"/>
      <c r="G70" s="343" t="s">
        <v>15802</v>
      </c>
      <c r="H70" s="344"/>
      <c r="I70" s="344"/>
      <c r="J70" s="34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35"/>
      <c r="E71" s="336"/>
      <c r="F71" s="50"/>
      <c r="G71" s="343"/>
      <c r="H71" s="344"/>
      <c r="I71" s="344"/>
      <c r="J71" s="34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5" t="str">
        <f ca="1">OFFSET(L!$C$1,MATCH("Declaration"&amp;ADDRESS(ROW(),COLUMN(),4),L!$A:$A,0)-1,SL,,)</f>
        <v>Answer the Following Questions at a Company Level</v>
      </c>
      <c r="C73" s="395"/>
      <c r="D73" s="395"/>
      <c r="E73" s="395"/>
      <c r="F73" s="395"/>
      <c r="G73" s="395"/>
      <c r="H73" s="395"/>
      <c r="I73" s="395"/>
      <c r="J73" s="39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6" t="str">
        <f ca="1">D25</f>
        <v>Answer</v>
      </c>
      <c r="E74" s="346"/>
      <c r="F74" s="53"/>
      <c r="G74" s="346" t="str">
        <f ca="1">G25</f>
        <v>Comments</v>
      </c>
      <c r="H74" s="346" t="e">
        <f>HLOOKUP(SL,LT,$O74,0)</f>
        <v>#NAME?</v>
      </c>
      <c r="I74" s="34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488</v>
      </c>
      <c r="E75" s="336"/>
      <c r="F75" s="57"/>
      <c r="G75" s="343"/>
      <c r="H75" s="344"/>
      <c r="I75" s="344"/>
      <c r="J75" s="345"/>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93"/>
      <c r="H76" s="393"/>
      <c r="I76" s="393"/>
      <c r="J76" s="39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488</v>
      </c>
      <c r="E77" s="336"/>
      <c r="F77" s="57"/>
      <c r="G77" s="347" t="s">
        <v>15803</v>
      </c>
      <c r="H77" s="348"/>
      <c r="I77" s="348"/>
      <c r="J77" s="349"/>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488</v>
      </c>
      <c r="E79" s="336"/>
      <c r="F79" s="57"/>
      <c r="G79" s="343"/>
      <c r="H79" s="344"/>
      <c r="I79" s="344"/>
      <c r="J79" s="345"/>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488</v>
      </c>
      <c r="E81" s="336"/>
      <c r="F81" s="57"/>
      <c r="G81" s="343"/>
      <c r="H81" s="344"/>
      <c r="I81" s="344"/>
      <c r="J81" s="345"/>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12394</v>
      </c>
      <c r="E83" s="336"/>
      <c r="F83" s="57"/>
      <c r="G83" s="343"/>
      <c r="H83" s="344"/>
      <c r="I83" s="344"/>
      <c r="J83" s="34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91" t="s">
        <v>488</v>
      </c>
      <c r="E85" s="392"/>
      <c r="F85" s="57"/>
      <c r="G85" s="343"/>
      <c r="H85" s="344"/>
      <c r="I85" s="344"/>
      <c r="J85" s="345"/>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93"/>
      <c r="H86" s="393"/>
      <c r="I86" s="393"/>
      <c r="J86" s="39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5" t="s">
        <v>488</v>
      </c>
      <c r="E87" s="336"/>
      <c r="F87" s="57"/>
      <c r="G87" s="343"/>
      <c r="H87" s="344"/>
      <c r="I87" s="344"/>
      <c r="J87" s="345"/>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94"/>
      <c r="H88" s="394"/>
      <c r="I88" s="394"/>
      <c r="J88" s="39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489</v>
      </c>
      <c r="E89" s="336"/>
      <c r="F89" s="57"/>
      <c r="G89" s="343"/>
      <c r="H89" s="344"/>
      <c r="I89" s="344"/>
      <c r="J89" s="34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90" t="str">
        <f>IF(OR($D$8="",$I$3=""),"","Click here to check required fields completion")</f>
        <v/>
      </c>
      <c r="C90" s="390"/>
      <c r="D90" s="390"/>
      <c r="E90" s="390"/>
      <c r="F90" s="390"/>
      <c r="G90" s="390"/>
      <c r="H90" s="390"/>
      <c r="I90" s="390"/>
      <c r="J90" s="390"/>
      <c r="K90" s="36"/>
      <c r="L90" s="100"/>
      <c r="P90" s="3"/>
      <c r="Q90" s="3"/>
      <c r="R90" s="3"/>
      <c r="S90" s="3"/>
      <c r="T90" s="3"/>
      <c r="U90" s="3"/>
      <c r="V90" s="3"/>
      <c r="W90" s="3"/>
      <c r="X90" s="3"/>
      <c r="Y90" s="3"/>
      <c r="Z90" s="3"/>
      <c r="AA90" s="3"/>
      <c r="AB90" s="3"/>
      <c r="AC90" s="3"/>
      <c r="AD90" s="3"/>
      <c r="AE90" s="3"/>
      <c r="AF90" s="3"/>
      <c r="AG90" s="3"/>
      <c r="AH90" s="3"/>
    </row>
    <row r="91" spans="1:34" ht="15.5" thickBot="1">
      <c r="A91" s="388" t="str">
        <f ca="1">OFFSET(L!$C$1,MATCH("General"&amp;"Cpy",L!$A:$A,0)-1,SL,,)</f>
        <v>© 2023 Responsible Minerals Initiative. All rights reserved.</v>
      </c>
      <c r="B91" s="389"/>
      <c r="C91" s="389"/>
      <c r="D91" s="389"/>
      <c r="E91" s="389"/>
      <c r="F91" s="389"/>
      <c r="G91" s="389"/>
      <c r="H91" s="389"/>
      <c r="I91" s="389"/>
      <c r="J91" s="389"/>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2">
    <mergeCell ref="D17:J17"/>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4:J14"/>
    <mergeCell ref="D19:J19"/>
    <mergeCell ref="D23:E23"/>
    <mergeCell ref="G33:J33"/>
    <mergeCell ref="D29:E29"/>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B4:H4"/>
    <mergeCell ref="D10:J10"/>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7" priority="163" stopIfTrue="1">
      <formula>IF($D$22="",TRUE)</formula>
    </cfRule>
  </conditionalFormatting>
  <conditionalFormatting sqref="D26:E26">
    <cfRule type="expression" dxfId="96" priority="141" stopIfTrue="1">
      <formula>IF($D$26="",TRUE)</formula>
    </cfRule>
  </conditionalFormatting>
  <conditionalFormatting sqref="D27:E27">
    <cfRule type="expression" dxfId="95" priority="148" stopIfTrue="1">
      <formula>IF($D$27="",TRUE)</formula>
    </cfRule>
  </conditionalFormatting>
  <conditionalFormatting sqref="D28:E28">
    <cfRule type="expression" dxfId="94" priority="149" stopIfTrue="1">
      <formula>IF($D$28="",TRUE)</formula>
    </cfRule>
  </conditionalFormatting>
  <conditionalFormatting sqref="D29:E29">
    <cfRule type="expression" dxfId="93" priority="150" stopIfTrue="1">
      <formula>IF($D$29="",TRUE)</formula>
    </cfRule>
  </conditionalFormatting>
  <conditionalFormatting sqref="D32:E32">
    <cfRule type="expression" dxfId="92" priority="59" stopIfTrue="1">
      <formula>IF(AND(OR($D$26="Yes",$D$26=""),$D$32=""),1,0)</formula>
    </cfRule>
    <cfRule type="expression" dxfId="91" priority="146" stopIfTrue="1">
      <formula>$P$26=""</formula>
    </cfRule>
  </conditionalFormatting>
  <conditionalFormatting sqref="D33:E33">
    <cfRule type="expression" dxfId="90" priority="46" stopIfTrue="1">
      <formula>IF(AND(OR($D$27="Yes",$D$27=""),$D$33=""),1,0)</formula>
    </cfRule>
    <cfRule type="expression" dxfId="89" priority="47" stopIfTrue="1">
      <formula>$P$27=""</formula>
    </cfRule>
  </conditionalFormatting>
  <conditionalFormatting sqref="D34:E34">
    <cfRule type="expression" dxfId="88" priority="5" stopIfTrue="1">
      <formula>IF(AND(OR($D$28="Yes",$D$28=""),$D$34=""),1,0)</formula>
    </cfRule>
    <cfRule type="expression" dxfId="87" priority="6" stopIfTrue="1">
      <formula>$P$28=""</formula>
    </cfRule>
  </conditionalFormatting>
  <conditionalFormatting sqref="D35:E35">
    <cfRule type="expression" dxfId="86" priority="43" stopIfTrue="1">
      <formula>IF(AND(OR($D$29="Yes",$D$29=""),$D$35=""),1,0)</formula>
    </cfRule>
    <cfRule type="expression" dxfId="85" priority="167" stopIfTrue="1">
      <formula>$P$29=""</formula>
    </cfRule>
  </conditionalFormatting>
  <conditionalFormatting sqref="D38:E38 D44:E44 D50:E50 D56:E56 D62:E62 D68:E68">
    <cfRule type="expression" dxfId="84" priority="22" stopIfTrue="1">
      <formula>$P$26=""</formula>
    </cfRule>
    <cfRule type="expression" dxfId="83" priority="23" stopIfTrue="1">
      <formula>$P$32=""</formula>
    </cfRule>
  </conditionalFormatting>
  <conditionalFormatting sqref="D38:E38">
    <cfRule type="expression" dxfId="82" priority="58" stopIfTrue="1">
      <formula>IF(AND(OR($D$26="Yes",$D$26=""),OR($D$32="Yes",$D$32=""),D38=""),1,0)</formula>
    </cfRule>
  </conditionalFormatting>
  <conditionalFormatting sqref="D39:E39 D45:E45 D51:E51 D57:E57 D63:E63 D69:E69">
    <cfRule type="expression" dxfId="81" priority="16" stopIfTrue="1">
      <formula>$P$33=""</formula>
    </cfRule>
    <cfRule type="expression" dxfId="80" priority="17" stopIfTrue="1">
      <formula>$P$39=""</formula>
    </cfRule>
  </conditionalFormatting>
  <conditionalFormatting sqref="D39:E39">
    <cfRule type="expression" dxfId="79" priority="54" stopIfTrue="1">
      <formula>IF(AND(OR($D$27="Yes",$D$27=""),OR($D$33="Yes",$D$33=""),D39=""),1,0)</formula>
    </cfRule>
  </conditionalFormatting>
  <conditionalFormatting sqref="D40:E40 D46:E46 D52:E52 D58:E58 D64:E64 D70:E70">
    <cfRule type="expression" dxfId="78" priority="11" stopIfTrue="1">
      <formula>$P$28=""</formula>
    </cfRule>
    <cfRule type="expression" dxfId="77" priority="12" stopIfTrue="1">
      <formula>$P$34=""</formula>
    </cfRule>
  </conditionalFormatting>
  <conditionalFormatting sqref="D40:E40">
    <cfRule type="expression" dxfId="76" priority="53" stopIfTrue="1">
      <formula>IF(AND(OR($D$28="Yes",$D$28=""),OR($D$34="Yes",$D$34=""),D40=""),1,0)</formula>
    </cfRule>
  </conditionalFormatting>
  <conditionalFormatting sqref="D41:E41 D47:E47 D53:E53 D59:E59 D65:E65 D71:E71">
    <cfRule type="expression" dxfId="75" priority="7" stopIfTrue="1">
      <formula>$P$29=""</formula>
    </cfRule>
    <cfRule type="expression" dxfId="74" priority="8" stopIfTrue="1">
      <formula>$P$35=""</formula>
    </cfRule>
  </conditionalFormatting>
  <conditionalFormatting sqref="D41:E41">
    <cfRule type="expression" dxfId="73" priority="169" stopIfTrue="1">
      <formula>IF(AND(OR($D$29="Yes",$D$29=""),OR($D$35="Yes",$D$35=""),D41=""),1,0)</formula>
    </cfRule>
  </conditionalFormatting>
  <conditionalFormatting sqref="D44:E44">
    <cfRule type="expression" dxfId="72" priority="57" stopIfTrue="1">
      <formula>IF(AND(OR($D$26="Yes",$D$26=""),OR($D$32="Yes",$D$32=""),D44=""),1,0)</formula>
    </cfRule>
  </conditionalFormatting>
  <conditionalFormatting sqref="D45:E45">
    <cfRule type="expression" dxfId="71" priority="19" stopIfTrue="1">
      <formula>IF(AND(OR($D$27="Yes",$D$27=""),OR($D$33="Yes",$D$33=""),D45=""),1,0)</formula>
    </cfRule>
  </conditionalFormatting>
  <conditionalFormatting sqref="D46:E46">
    <cfRule type="expression" dxfId="70" priority="44" stopIfTrue="1">
      <formula>IF(AND(OR($D$28="Yes",$D$28=""),OR($D$34="Yes",$D$34=""),D46=""),1,0)</formula>
    </cfRule>
  </conditionalFormatting>
  <conditionalFormatting sqref="D47:E47">
    <cfRule type="expression" dxfId="69" priority="52" stopIfTrue="1">
      <formula>IF(AND(OR($D$29="Yes",$D$29=""),OR($D$35="Yes",$D$35=""),D47=""),1,0)</formula>
    </cfRule>
  </conditionalFormatting>
  <conditionalFormatting sqref="D50:E50">
    <cfRule type="expression" dxfId="68" priority="25" stopIfTrue="1">
      <formula>IF(AND(OR($D$26="Yes",$D$26=""),OR($D$32="Yes",$D$32=""),D50=""),1,0)</formula>
    </cfRule>
  </conditionalFormatting>
  <conditionalFormatting sqref="D51:E51">
    <cfRule type="expression" dxfId="67" priority="164" stopIfTrue="1">
      <formula>IF(AND(OR($D$27="Yes",$D$27=""),OR($D$33="Yes",$D$33=""),D51=""),1,0)</formula>
    </cfRule>
  </conditionalFormatting>
  <conditionalFormatting sqref="D52:E52">
    <cfRule type="expression" dxfId="66" priority="15" stopIfTrue="1">
      <formula>IF(AND(OR($D$28="Yes",$D$28=""),OR($D$34="Yes",$D$34=""),D52=""),1,0)</formula>
    </cfRule>
  </conditionalFormatting>
  <conditionalFormatting sqref="D53:E53">
    <cfRule type="expression" dxfId="65" priority="38" stopIfTrue="1">
      <formula>IF(AND(OR($D$29="Yes",$D$29=""),OR($D$35="Yes",$D$35=""),D53=""),1,0)</formula>
    </cfRule>
  </conditionalFormatting>
  <conditionalFormatting sqref="D56:E56">
    <cfRule type="expression" dxfId="64" priority="33" stopIfTrue="1">
      <formula>IF(AND(OR($D$26="Yes",$D$26=""),OR($D$32="Yes",$D$32=""),D56=""),1,0)</formula>
    </cfRule>
  </conditionalFormatting>
  <conditionalFormatting sqref="D57:E57">
    <cfRule type="expression" dxfId="63" priority="21" stopIfTrue="1">
      <formula>IF(AND(OR($D$27="Yes",$D$27=""),OR($D$33="Yes",$D$33=""),D57=""),1,0)</formula>
    </cfRule>
  </conditionalFormatting>
  <conditionalFormatting sqref="D58:E58">
    <cfRule type="expression" dxfId="62" priority="14" stopIfTrue="1">
      <formula>IF(AND(OR($D$28="Yes",$D$28=""),OR($D$34="Yes",$D$34=""),D58=""),1,0)</formula>
    </cfRule>
  </conditionalFormatting>
  <conditionalFormatting sqref="D59:E59">
    <cfRule type="expression" dxfId="61" priority="10" stopIfTrue="1">
      <formula>IF(AND(OR($D$29="Yes",$D$29=""),OR($D$35="Yes",$D$35=""),D59=""),1,0)</formula>
    </cfRule>
  </conditionalFormatting>
  <conditionalFormatting sqref="D62:E62">
    <cfRule type="expression" dxfId="60" priority="32" stopIfTrue="1">
      <formula>IF(AND(OR($D$26="Yes",$D$26=""),OR($D$32="Yes",$D$32=""),D62=""),1,0)</formula>
    </cfRule>
  </conditionalFormatting>
  <conditionalFormatting sqref="D63:E63">
    <cfRule type="expression" dxfId="59" priority="18" stopIfTrue="1">
      <formula>IF(AND(OR($D$27="Yes",$D$27=""),OR($D$33="Yes",$D$33=""),D63=""),1,0)</formula>
    </cfRule>
  </conditionalFormatting>
  <conditionalFormatting sqref="D64:E64">
    <cfRule type="expression" dxfId="58" priority="13" stopIfTrue="1">
      <formula>IF(AND(OR($D$28="Yes",$D$28=""),OR($D$34="Yes",$D$34=""),D64=""),1,0)</formula>
    </cfRule>
  </conditionalFormatting>
  <conditionalFormatting sqref="D65:E65">
    <cfRule type="expression" dxfId="57" priority="9" stopIfTrue="1">
      <formula>IF(AND(OR($D$29="Yes",$D$29=""),OR($D$35="Yes",$D$35=""),D65=""),1,0)</formula>
    </cfRule>
  </conditionalFormatting>
  <conditionalFormatting sqref="D68:E68">
    <cfRule type="expression" dxfId="56" priority="24" stopIfTrue="1">
      <formula>IF(AND(OR($D$26="Yes",$D$26=""),OR($D$32="Yes",$D$32=""),D68=""),1,0)</formula>
    </cfRule>
  </conditionalFormatting>
  <conditionalFormatting sqref="D69:E69">
    <cfRule type="expression" dxfId="55" priority="20" stopIfTrue="1">
      <formula>IF(AND(OR($D$27="Yes",$D$27=""),OR($D$33="Yes",$D$33=""),D69=""),1,0)</formula>
    </cfRule>
  </conditionalFormatting>
  <conditionalFormatting sqref="D70:E70">
    <cfRule type="expression" dxfId="54" priority="166" stopIfTrue="1">
      <formula>IF(AND(OR($D$28="Yes",$D$28=""),OR($D$34="Yes",$D$34=""),D70=""),1,0)</formula>
    </cfRule>
  </conditionalFormatting>
  <conditionalFormatting sqref="D71:E71">
    <cfRule type="expression" dxfId="53" priority="168" stopIfTrue="1">
      <formula>IF(AND(OR($D$29="Yes",$D$29=""),OR($D$35="Yes",$D$35=""),D71=""),1,0)</formula>
    </cfRule>
  </conditionalFormatting>
  <conditionalFormatting sqref="D75:E75 D77:E77 D79:E79 D81:E81 D83 D85:E85 D87:E87 D89:E89">
    <cfRule type="expression" dxfId="52" priority="89" stopIfTrue="1">
      <formula>AND(OR($D$26="No",AND($D$26="Yes",$D$32="No")),OR($D$27="No",AND($D$27="Yes",$D$33="No")),OR($D$28="No",AND($D$28="Yes",$D$34="No")),OR($D$29="No",AND($D$29="Yes",$D$35="No")))</formula>
    </cfRule>
    <cfRule type="expression" dxfId="51" priority="90" stopIfTrue="1">
      <formula>IF(D75="",TRUE)</formula>
    </cfRule>
  </conditionalFormatting>
  <conditionalFormatting sqref="D9:G9">
    <cfRule type="expression" dxfId="50" priority="156" stopIfTrue="1">
      <formula>IF($D$9="",TRUE)</formula>
    </cfRule>
  </conditionalFormatting>
  <conditionalFormatting sqref="D8:J8">
    <cfRule type="expression" dxfId="49" priority="155" stopIfTrue="1">
      <formula>IF($D$8="",TRUE)</formula>
    </cfRule>
  </conditionalFormatting>
  <conditionalFormatting sqref="D10:J10">
    <cfRule type="expression" dxfId="48" priority="60" stopIfTrue="1">
      <formula>IF($D$9=$Q$9,TRUE)</formula>
    </cfRule>
    <cfRule type="expression" dxfId="47" priority="170" stopIfTrue="1">
      <formula>IF(AND($D$10="",$D$9=$R$9),TRUE)</formula>
    </cfRule>
  </conditionalFormatting>
  <conditionalFormatting sqref="D15:J15">
    <cfRule type="expression" dxfId="46" priority="171" stopIfTrue="1">
      <formula>IF($D$17="",TRUE)</formula>
    </cfRule>
  </conditionalFormatting>
  <conditionalFormatting sqref="D20:J20">
    <cfRule type="expression" dxfId="45" priority="39" stopIfTrue="1">
      <formula>IF($D$20="",TRUE)</formula>
    </cfRule>
  </conditionalFormatting>
  <conditionalFormatting sqref="G77:J77">
    <cfRule type="expression" dxfId="44" priority="61" stopIfTrue="1">
      <formula>IF(AND($D$77="Yes",$G$77=""),TRUE)</formula>
    </cfRule>
  </conditionalFormatting>
  <conditionalFormatting sqref="G85:J85">
    <cfRule type="expression" dxfId="43" priority="51" stopIfTrue="1">
      <formula>IF(AND($D$85="Yes, using other format (describe)",$G$85=""),TRUE)</formula>
    </cfRule>
  </conditionalFormatting>
  <conditionalFormatting sqref="D13:J13">
    <cfRule type="expression" dxfId="42" priority="4" stopIfTrue="1">
      <formula>IF($D$15="",TRUE)</formula>
    </cfRule>
  </conditionalFormatting>
  <dataValidations count="28">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7:J17"/>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0" r:id="rId3"/>
    <hyperlink ref="D16" r:id="rId4"/>
    <hyperlink ref="D20" r:id="rId5"/>
    <hyperlink ref="G77"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2" sqref="C1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6" t="str">
        <f ca="1">OFFSET(L!$C$1,MATCH("Smelter List"&amp;ADDRESS(ROW(),COLUMN(),4),L!$A:$A,0)-1,SL,,)</f>
        <v>Link to "RMAP Conformant Smelter List"</v>
      </c>
      <c r="K2" s="397"/>
      <c r="L2" s="397"/>
      <c r="M2" s="397"/>
      <c r="N2" s="397"/>
      <c r="O2" s="397"/>
      <c r="P2" s="195"/>
      <c r="Q2" s="196"/>
      <c r="R2" s="197"/>
      <c r="S2" s="197"/>
      <c r="T2" s="197"/>
      <c r="AH2" s="145" t="s">
        <v>488</v>
      </c>
    </row>
    <row r="3" spans="1:34" s="221" customFormat="1" ht="173.4" customHeight="1">
      <c r="A3" s="171"/>
      <c r="B3" s="39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8"/>
      <c r="D3" s="398"/>
      <c r="E3" s="398"/>
      <c r="F3" s="222"/>
      <c r="G3" s="399" t="str">
        <f ca="1">OFFSET(L!$C$1,MATCH("General"&amp;"Cpy",L!$A:$A,0)-1,SL,,)</f>
        <v>© 2023 Responsible Minerals Initiative. All rights reserved.</v>
      </c>
      <c r="H3" s="399"/>
      <c r="I3" s="40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773</v>
      </c>
      <c r="B5" s="182" t="s">
        <v>1126</v>
      </c>
      <c r="C5" s="301" t="s">
        <v>1030</v>
      </c>
      <c r="D5" s="230" t="s">
        <v>1030</v>
      </c>
      <c r="E5" s="182" t="s">
        <v>876</v>
      </c>
      <c r="F5" s="182" t="s">
        <v>773</v>
      </c>
      <c r="G5" s="182" t="s">
        <v>15804</v>
      </c>
      <c r="H5" s="293" t="s">
        <v>15805</v>
      </c>
      <c r="I5" s="294" t="s">
        <v>1785</v>
      </c>
      <c r="J5" s="294" t="s">
        <v>1786</v>
      </c>
      <c r="K5" s="295" t="s">
        <v>15806</v>
      </c>
      <c r="L5" s="295" t="s">
        <v>15807</v>
      </c>
      <c r="M5" s="295"/>
      <c r="N5" s="295" t="s">
        <v>1030</v>
      </c>
      <c r="O5" s="295" t="s">
        <v>15808</v>
      </c>
      <c r="P5" s="296" t="s">
        <v>489</v>
      </c>
      <c r="Q5" s="297"/>
      <c r="R5" s="182" t="s">
        <v>1030</v>
      </c>
      <c r="S5" s="298" t="str">
        <f t="shared" ref="S5" ca="1" si="0">IF(B5="","",IF(ISERROR(MATCH($E5,Yarono,0)),"Unknown",INDIRECT("'C'!$A$"&amp;MATCH($E5,Yarono,0)+1)))</f>
        <v>PE</v>
      </c>
      <c r="T5" s="298" t="str">
        <f ca="1">IF(B5="","",IF(ISERROR(MATCH($J5,[1]SorP!$B$1:$B$6230,0)),"",INDIRECT("'SorP'!$A$"&amp;MATCH($J5,[1]SorP!$B$1:$B$6230,0))))</f>
        <v>NZ-CAN</v>
      </c>
      <c r="U5" s="299"/>
      <c r="V5" s="226">
        <f>IF(C5="",NA(),MATCH($B5&amp;$C5,'[1]Smelter Look-up'!$J:$J,0))</f>
        <v>424</v>
      </c>
      <c r="W5" s="300"/>
      <c r="X5" s="300">
        <f t="shared" ref="X5:X22" si="1">IF(AND(C5="Smelter not listed",OR(LEN(D5)=0,LEN(E5)=0)),1,0)</f>
        <v>0</v>
      </c>
      <c r="Y5" s="300"/>
      <c r="Z5" s="300"/>
      <c r="AB5" s="228" t="str">
        <f t="shared" ref="AB5" si="2">B5&amp;C5</f>
        <v>TinMinsur</v>
      </c>
    </row>
    <row r="6" spans="1:34" s="227" customFormat="1" ht="20" customHeight="1">
      <c r="A6" s="262" t="s">
        <v>1815</v>
      </c>
      <c r="B6" s="182" t="s">
        <v>1126</v>
      </c>
      <c r="C6" s="301" t="s">
        <v>15809</v>
      </c>
      <c r="D6" s="230" t="s">
        <v>15809</v>
      </c>
      <c r="E6" s="182" t="s">
        <v>1091</v>
      </c>
      <c r="F6" s="182" t="s">
        <v>1815</v>
      </c>
      <c r="G6" s="182" t="s">
        <v>15804</v>
      </c>
      <c r="H6" s="293" t="s">
        <v>15810</v>
      </c>
      <c r="I6" s="294" t="s">
        <v>1816</v>
      </c>
      <c r="J6" s="294" t="s">
        <v>1676</v>
      </c>
      <c r="K6" s="295" t="s">
        <v>15811</v>
      </c>
      <c r="L6" s="295" t="s">
        <v>15812</v>
      </c>
      <c r="M6" s="295"/>
      <c r="N6" s="295" t="s">
        <v>15813</v>
      </c>
      <c r="O6" s="295" t="s">
        <v>15813</v>
      </c>
      <c r="P6" s="296" t="s">
        <v>488</v>
      </c>
      <c r="Q6" s="297"/>
      <c r="R6" s="182" t="s">
        <v>15814</v>
      </c>
      <c r="S6" s="298" t="str">
        <f t="shared" ref="S6:S22" ca="1" si="3">IF(B6="","",IF(ISERROR(MATCH($E6,Yarono,0)),"Unknown",INDIRECT("'C'!$A$"&amp;MATCH($E6,Yarono,0)+1)))</f>
        <v>BE</v>
      </c>
      <c r="T6" s="298" t="str">
        <f ca="1">IF(B6="","",IF(ISERROR(MATCH($J6,[1]SorP!$B$1:$B$6230,0)),"",INDIRECT("'SorP'!$A$"&amp;MATCH($J6,[1]SorP!$B$1:$B$6230,0))))</f>
        <v/>
      </c>
      <c r="U6" s="299"/>
      <c r="V6" s="226" t="e">
        <f>IF(C6="",NA(),MATCH($B6&amp;$C6,'[1]Smelter Look-up'!$J:$J,0))</f>
        <v>#N/A</v>
      </c>
      <c r="W6" s="300"/>
      <c r="X6" s="300">
        <f t="shared" si="1"/>
        <v>0</v>
      </c>
      <c r="Y6" s="300"/>
      <c r="Z6" s="300"/>
      <c r="AB6" s="228" t="str">
        <f t="shared" ref="AB6:AB37" si="4">B6&amp;C6</f>
        <v>TinMetallo-Chimique N.V.</v>
      </c>
    </row>
    <row r="7" spans="1:34" s="227" customFormat="1" ht="20" customHeight="1">
      <c r="A7" s="262" t="s">
        <v>766</v>
      </c>
      <c r="B7" s="182" t="s">
        <v>1126</v>
      </c>
      <c r="C7" s="301" t="s">
        <v>811</v>
      </c>
      <c r="D7" s="230" t="s">
        <v>811</v>
      </c>
      <c r="E7" s="182" t="s">
        <v>878</v>
      </c>
      <c r="F7" s="182" t="s">
        <v>766</v>
      </c>
      <c r="G7" s="182" t="s">
        <v>15804</v>
      </c>
      <c r="H7" s="293" t="s">
        <v>15815</v>
      </c>
      <c r="I7" s="294" t="s">
        <v>1771</v>
      </c>
      <c r="J7" s="294" t="s">
        <v>15816</v>
      </c>
      <c r="K7" s="295" t="s">
        <v>15817</v>
      </c>
      <c r="L7" s="295" t="s">
        <v>15818</v>
      </c>
      <c r="M7" s="295"/>
      <c r="N7" s="295" t="s">
        <v>15813</v>
      </c>
      <c r="O7" s="295" t="s">
        <v>15813</v>
      </c>
      <c r="P7" s="296" t="s">
        <v>488</v>
      </c>
      <c r="Q7" s="297"/>
      <c r="R7" s="182" t="s">
        <v>811</v>
      </c>
      <c r="S7" s="298" t="str">
        <f t="shared" ca="1" si="3"/>
        <v>PL</v>
      </c>
      <c r="T7" s="298" t="str">
        <f ca="1">IF(B7="","",IF(ISERROR(MATCH($J7,[1]SorP!$B$1:$B$6230,0)),"",INDIRECT("'SorP'!$A$"&amp;MATCH($J7,[1]SorP!$B$1:$B$6230,0))))</f>
        <v/>
      </c>
      <c r="U7" s="299"/>
      <c r="V7" s="226">
        <f>IF(C7="",NA(),MATCH($B7&amp;$C7,'[1]Smelter Look-up'!$J:$J,0))</f>
        <v>383</v>
      </c>
      <c r="W7" s="300"/>
      <c r="X7" s="300">
        <f t="shared" si="1"/>
        <v>0</v>
      </c>
      <c r="Y7" s="300"/>
      <c r="Z7" s="300"/>
      <c r="AB7" s="228" t="str">
        <f t="shared" si="4"/>
        <v>TinFenix Metals</v>
      </c>
    </row>
    <row r="8" spans="1:34" s="227" customFormat="1" ht="20" customHeight="1">
      <c r="A8" s="262" t="s">
        <v>658</v>
      </c>
      <c r="B8" s="182" t="s">
        <v>1125</v>
      </c>
      <c r="C8" s="301" t="s">
        <v>1219</v>
      </c>
      <c r="D8" s="230" t="s">
        <v>1219</v>
      </c>
      <c r="E8" s="182" t="s">
        <v>1097</v>
      </c>
      <c r="F8" s="182" t="s">
        <v>658</v>
      </c>
      <c r="G8" s="182" t="s">
        <v>15804</v>
      </c>
      <c r="H8" s="293"/>
      <c r="I8" s="294" t="s">
        <v>1556</v>
      </c>
      <c r="J8" s="294" t="s">
        <v>15819</v>
      </c>
      <c r="K8" s="295"/>
      <c r="L8" s="295"/>
      <c r="M8" s="295"/>
      <c r="N8" s="295"/>
      <c r="O8" s="295"/>
      <c r="P8" s="296"/>
      <c r="Q8" s="297"/>
      <c r="R8" s="182" t="s">
        <v>1219</v>
      </c>
      <c r="S8" s="298" t="str">
        <f t="shared" ca="1" si="3"/>
        <v>DE</v>
      </c>
      <c r="T8" s="298" t="str">
        <f ca="1">IF(B8="","",IF(ISERROR(MATCH($J8,[1]SorP!$B$1:$B$6230,0)),"",INDIRECT("'SorP'!$A$"&amp;MATCH($J8,[1]SorP!$B$1:$B$6230,0))))</f>
        <v/>
      </c>
      <c r="U8" s="299"/>
      <c r="V8" s="226">
        <f>IF(C8="",NA(),MATCH($B8&amp;$C8,'[1]Smelter Look-up'!$J:$J,0))</f>
        <v>32</v>
      </c>
      <c r="W8" s="300"/>
      <c r="X8" s="300">
        <f t="shared" si="1"/>
        <v>0</v>
      </c>
      <c r="Y8" s="300"/>
      <c r="Z8" s="300"/>
      <c r="AB8" s="228" t="str">
        <f t="shared" si="4"/>
        <v>GoldAurubis AG</v>
      </c>
    </row>
    <row r="9" spans="1:34" s="227" customFormat="1" ht="20" customHeight="1">
      <c r="A9" s="262" t="s">
        <v>705</v>
      </c>
      <c r="B9" s="182" t="s">
        <v>1125</v>
      </c>
      <c r="C9" s="301" t="s">
        <v>1162</v>
      </c>
      <c r="D9" s="230" t="s">
        <v>15820</v>
      </c>
      <c r="E9" s="182" t="s">
        <v>1094</v>
      </c>
      <c r="F9" s="182" t="s">
        <v>705</v>
      </c>
      <c r="G9" s="182" t="s">
        <v>15804</v>
      </c>
      <c r="H9" s="293" t="s">
        <v>15821</v>
      </c>
      <c r="I9" s="294" t="s">
        <v>15822</v>
      </c>
      <c r="J9" s="294" t="s">
        <v>1623</v>
      </c>
      <c r="K9" s="295" t="s">
        <v>15823</v>
      </c>
      <c r="L9" s="295" t="s">
        <v>15824</v>
      </c>
      <c r="M9" s="295" t="s">
        <v>15825</v>
      </c>
      <c r="N9" s="295" t="s">
        <v>15826</v>
      </c>
      <c r="O9" s="295" t="s">
        <v>15826</v>
      </c>
      <c r="P9" s="296" t="s">
        <v>489</v>
      </c>
      <c r="Q9" s="297"/>
      <c r="R9" s="182" t="s">
        <v>2305</v>
      </c>
      <c r="S9" s="298" t="str">
        <f t="shared" ca="1" si="3"/>
        <v>CH</v>
      </c>
      <c r="T9" s="298" t="str">
        <f ca="1">IF(B9="","",IF(ISERROR(MATCH($J9,[1]SorP!$B$1:$B$6230,0)),"",INDIRECT("'SorP'!$A$"&amp;MATCH($J9,[1]SorP!$B$1:$B$6230,0))))</f>
        <v>CH-GR</v>
      </c>
      <c r="U9" s="299"/>
      <c r="V9" s="226">
        <f>IF(C9="",NA(),MATCH($B9&amp;$C9,'[1]Smelter Look-up'!$J:$J,0))</f>
        <v>154</v>
      </c>
      <c r="W9" s="300"/>
      <c r="X9" s="300">
        <f t="shared" si="1"/>
        <v>0</v>
      </c>
      <c r="Y9" s="300"/>
      <c r="Z9" s="300"/>
      <c r="AB9" s="228" t="str">
        <f t="shared" si="4"/>
        <v>GoldMetalor Switzerland</v>
      </c>
    </row>
    <row r="10" spans="1:34" s="227" customFormat="1" ht="20" customHeight="1">
      <c r="A10" s="262" t="s">
        <v>726</v>
      </c>
      <c r="B10" s="182" t="s">
        <v>1125</v>
      </c>
      <c r="C10" s="301" t="s">
        <v>2160</v>
      </c>
      <c r="D10" s="230" t="s">
        <v>2160</v>
      </c>
      <c r="E10" s="182" t="s">
        <v>1096</v>
      </c>
      <c r="F10" s="182" t="s">
        <v>726</v>
      </c>
      <c r="G10" s="182" t="s">
        <v>15804</v>
      </c>
      <c r="H10" s="293" t="s">
        <v>15827</v>
      </c>
      <c r="I10" s="294" t="s">
        <v>1585</v>
      </c>
      <c r="J10" s="294" t="s">
        <v>15828</v>
      </c>
      <c r="K10" s="295" t="s">
        <v>15829</v>
      </c>
      <c r="L10" s="295" t="s">
        <v>15830</v>
      </c>
      <c r="M10" s="295" t="s">
        <v>2351</v>
      </c>
      <c r="N10" s="295" t="s">
        <v>1585</v>
      </c>
      <c r="O10" s="295" t="s">
        <v>15828</v>
      </c>
      <c r="P10" s="296" t="s">
        <v>489</v>
      </c>
      <c r="Q10" s="297" t="s">
        <v>2351</v>
      </c>
      <c r="R10" s="182" t="s">
        <v>2160</v>
      </c>
      <c r="S10" s="298" t="str">
        <f t="shared" ca="1" si="3"/>
        <v>CN</v>
      </c>
      <c r="T10" s="298" t="str">
        <f ca="1">IF(B10="","",IF(ISERROR(MATCH($J10,[1]SorP!$B$1:$B$6230,0)),"",INDIRECT("'SorP'!$A$"&amp;MATCH($J10,[1]SorP!$B$1:$B$6230,0))))</f>
        <v/>
      </c>
      <c r="U10" s="299"/>
      <c r="V10" s="226">
        <f>IF(C10="",NA(),MATCH($B10&amp;$C10,'[1]Smelter Look-up'!$J:$J,0))</f>
        <v>223</v>
      </c>
      <c r="W10" s="300"/>
      <c r="X10" s="300">
        <f t="shared" si="1"/>
        <v>0</v>
      </c>
      <c r="Y10" s="300"/>
      <c r="Z10" s="300"/>
      <c r="AB10" s="228" t="str">
        <f t="shared" si="4"/>
        <v>GoldShandong Zhaojin Gold &amp; Silver Refinery Co., Ltd.</v>
      </c>
    </row>
    <row r="11" spans="1:34" s="227" customFormat="1" ht="20" customHeight="1">
      <c r="A11" s="262" t="s">
        <v>786</v>
      </c>
      <c r="B11" s="182" t="s">
        <v>1126</v>
      </c>
      <c r="C11" s="301" t="s">
        <v>2166</v>
      </c>
      <c r="D11" s="230" t="s">
        <v>2166</v>
      </c>
      <c r="E11" s="182" t="s">
        <v>1096</v>
      </c>
      <c r="F11" s="182" t="s">
        <v>786</v>
      </c>
      <c r="G11" s="182" t="s">
        <v>15804</v>
      </c>
      <c r="H11" s="293" t="s">
        <v>15831</v>
      </c>
      <c r="I11" s="294" t="s">
        <v>15832</v>
      </c>
      <c r="J11" s="294" t="s">
        <v>15833</v>
      </c>
      <c r="K11" s="295" t="s">
        <v>15834</v>
      </c>
      <c r="L11" s="295" t="s">
        <v>15835</v>
      </c>
      <c r="M11" s="295" t="s">
        <v>2351</v>
      </c>
      <c r="N11" s="295" t="s">
        <v>15836</v>
      </c>
      <c r="O11" s="295" t="s">
        <v>15837</v>
      </c>
      <c r="P11" s="296" t="s">
        <v>489</v>
      </c>
      <c r="Q11" s="297" t="s">
        <v>2351</v>
      </c>
      <c r="R11" s="182" t="s">
        <v>2166</v>
      </c>
      <c r="S11" s="298" t="str">
        <f t="shared" ca="1" si="3"/>
        <v>CN</v>
      </c>
      <c r="T11" s="298" t="str">
        <f ca="1">IF(B11="","",IF(ISERROR(MATCH($J11,[1]SorP!$B$1:$B$6230,0)),"",INDIRECT("'SorP'!$A$"&amp;MATCH($J11,[1]SorP!$B$1:$B$6230,0))))</f>
        <v/>
      </c>
      <c r="U11" s="299"/>
      <c r="V11" s="226">
        <f>IF(C11="",NA(),MATCH($B11&amp;$C11,'[1]Smelter Look-up'!$J:$J,0))</f>
        <v>473</v>
      </c>
      <c r="W11" s="300"/>
      <c r="X11" s="300">
        <f t="shared" si="1"/>
        <v>0</v>
      </c>
      <c r="Y11" s="300"/>
      <c r="Z11" s="300"/>
      <c r="AB11" s="228" t="str">
        <f t="shared" si="4"/>
        <v>TinYunnan Chengfeng Non-ferrous Metals Co., Ltd.</v>
      </c>
    </row>
    <row r="12" spans="1:34" s="227" customFormat="1" ht="20" customHeight="1">
      <c r="A12" s="262" t="s">
        <v>15838</v>
      </c>
      <c r="B12" s="182" t="s">
        <v>1127</v>
      </c>
      <c r="C12" s="301" t="s">
        <v>15839</v>
      </c>
      <c r="D12" s="230" t="s">
        <v>15839</v>
      </c>
      <c r="E12" s="182" t="s">
        <v>15840</v>
      </c>
      <c r="F12" s="182" t="s">
        <v>15838</v>
      </c>
      <c r="G12" s="182" t="s">
        <v>15804</v>
      </c>
      <c r="H12" s="293"/>
      <c r="I12" s="294" t="s">
        <v>15841</v>
      </c>
      <c r="J12" s="294" t="s">
        <v>1696</v>
      </c>
      <c r="K12" s="295"/>
      <c r="L12" s="295"/>
      <c r="M12" s="295"/>
      <c r="N12" s="295"/>
      <c r="O12" s="295"/>
      <c r="P12" s="296"/>
      <c r="Q12" s="297" t="s">
        <v>15842</v>
      </c>
      <c r="R12" s="182" t="s">
        <v>15839</v>
      </c>
      <c r="S12" s="298" t="str">
        <f t="shared" ca="1" si="3"/>
        <v>Unknown</v>
      </c>
      <c r="T12" s="298" t="str">
        <f ca="1">IF(B12="","",IF(ISERROR(MATCH($J12,[1]SorP!$B$1:$B$6230,0)),"",INDIRECT("'SorP'!$A$"&amp;MATCH($J12,[1]SorP!$B$1:$B$6230,0))))</f>
        <v>UG-424</v>
      </c>
      <c r="U12" s="299"/>
      <c r="V12" s="226">
        <f>IF(C12="",NA(),MATCH($B12&amp;$C12,'[1]Smelter Look-up'!$J:$J,0))</f>
        <v>300</v>
      </c>
      <c r="W12" s="300"/>
      <c r="X12" s="300">
        <f t="shared" si="1"/>
        <v>0</v>
      </c>
      <c r="Y12" s="300"/>
      <c r="Z12" s="300"/>
      <c r="AB12" s="228" t="str">
        <f t="shared" si="4"/>
        <v>TantalumExotech Inc.</v>
      </c>
    </row>
    <row r="13" spans="1:34" s="227" customFormat="1" ht="20" customHeight="1">
      <c r="A13" s="262" t="s">
        <v>746</v>
      </c>
      <c r="B13" s="182" t="s">
        <v>1127</v>
      </c>
      <c r="C13" s="301" t="s">
        <v>45</v>
      </c>
      <c r="D13" s="230" t="s">
        <v>45</v>
      </c>
      <c r="E13" s="182" t="s">
        <v>1096</v>
      </c>
      <c r="F13" s="182" t="s">
        <v>746</v>
      </c>
      <c r="G13" s="182" t="s">
        <v>15804</v>
      </c>
      <c r="H13" s="293"/>
      <c r="I13" s="294" t="s">
        <v>1717</v>
      </c>
      <c r="J13" s="294" t="s">
        <v>15843</v>
      </c>
      <c r="K13" s="295"/>
      <c r="L13" s="295"/>
      <c r="M13" s="295"/>
      <c r="N13" s="295"/>
      <c r="O13" s="295"/>
      <c r="P13" s="296"/>
      <c r="Q13" s="297" t="s">
        <v>15842</v>
      </c>
      <c r="R13" s="182" t="s">
        <v>45</v>
      </c>
      <c r="S13" s="298" t="str">
        <f t="shared" ca="1" si="3"/>
        <v>CN</v>
      </c>
      <c r="T13" s="298" t="str">
        <f ca="1">IF(B13="","",IF(ISERROR(MATCH($J13,[1]SorP!$B$1:$B$6230,0)),"",INDIRECT("'SorP'!$A$"&amp;MATCH($J13,[1]SorP!$B$1:$B$6230,0))))</f>
        <v/>
      </c>
      <c r="U13" s="299"/>
      <c r="V13" s="226">
        <f>IF(C13="",NA(),MATCH($B13&amp;$C13,'[1]Smelter Look-up'!$J:$J,0))</f>
        <v>302</v>
      </c>
      <c r="W13" s="300"/>
      <c r="X13" s="300">
        <f t="shared" si="1"/>
        <v>0</v>
      </c>
      <c r="Y13" s="300"/>
      <c r="Z13" s="300"/>
      <c r="AB13" s="228" t="str">
        <f t="shared" si="4"/>
        <v>TantalumF&amp;X Electro-Materials Ltd.</v>
      </c>
    </row>
    <row r="14" spans="1:34" s="227" customFormat="1" ht="20" customHeight="1">
      <c r="A14" s="262" t="s">
        <v>1391</v>
      </c>
      <c r="B14" s="182" t="s">
        <v>1127</v>
      </c>
      <c r="C14" s="301" t="s">
        <v>1390</v>
      </c>
      <c r="D14" s="230" t="s">
        <v>1390</v>
      </c>
      <c r="E14" s="182" t="s">
        <v>15840</v>
      </c>
      <c r="F14" s="182" t="s">
        <v>1391</v>
      </c>
      <c r="G14" s="182" t="s">
        <v>15804</v>
      </c>
      <c r="H14" s="293"/>
      <c r="I14" s="294" t="s">
        <v>1741</v>
      </c>
      <c r="J14" s="294" t="s">
        <v>1742</v>
      </c>
      <c r="K14" s="295"/>
      <c r="L14" s="295"/>
      <c r="M14" s="295"/>
      <c r="N14" s="295"/>
      <c r="O14" s="295"/>
      <c r="P14" s="296"/>
      <c r="Q14" s="297" t="s">
        <v>15842</v>
      </c>
      <c r="R14" s="182" t="s">
        <v>1390</v>
      </c>
      <c r="S14" s="298" t="str">
        <f t="shared" ca="1" si="3"/>
        <v>Unknown</v>
      </c>
      <c r="T14" s="298" t="str">
        <f ca="1">IF(B14="","",IF(ISERROR(MATCH($J14,[1]SorP!$B$1:$B$6230,0)),"",INDIRECT("'SorP'!$A$"&amp;MATCH($J14,[1]SorP!$B$1:$B$6230,0))))</f>
        <v>UG-419</v>
      </c>
      <c r="U14" s="299"/>
      <c r="V14" s="226">
        <f>IF(C14="",NA(),MATCH($B14&amp;$C14,'[1]Smelter Look-up'!$J:$J,0))</f>
        <v>299</v>
      </c>
      <c r="W14" s="300"/>
      <c r="X14" s="300">
        <f t="shared" si="1"/>
        <v>0</v>
      </c>
      <c r="Y14" s="300"/>
      <c r="Z14" s="300"/>
      <c r="AB14" s="228" t="str">
        <f t="shared" si="4"/>
        <v>TantalumD Block Metals, LLC</v>
      </c>
    </row>
    <row r="15" spans="1:34" s="227" customFormat="1" ht="20" customHeight="1">
      <c r="A15" s="262" t="s">
        <v>1411</v>
      </c>
      <c r="B15" s="182" t="s">
        <v>1127</v>
      </c>
      <c r="C15" s="301" t="s">
        <v>1410</v>
      </c>
      <c r="D15" s="230" t="s">
        <v>1410</v>
      </c>
      <c r="E15" s="182" t="s">
        <v>884</v>
      </c>
      <c r="F15" s="182" t="s">
        <v>1411</v>
      </c>
      <c r="G15" s="182" t="s">
        <v>15804</v>
      </c>
      <c r="H15" s="293"/>
      <c r="I15" s="294" t="s">
        <v>1747</v>
      </c>
      <c r="J15" s="294" t="s">
        <v>1748</v>
      </c>
      <c r="K15" s="295"/>
      <c r="L15" s="295"/>
      <c r="M15" s="295"/>
      <c r="N15" s="295"/>
      <c r="O15" s="295"/>
      <c r="P15" s="296"/>
      <c r="Q15" s="297" t="s">
        <v>15842</v>
      </c>
      <c r="R15" s="182" t="s">
        <v>1410</v>
      </c>
      <c r="S15" s="298" t="str">
        <f t="shared" ca="1" si="3"/>
        <v>TH</v>
      </c>
      <c r="T15" s="298" t="str">
        <f ca="1">IF(B15="","",IF(ISERROR(MATCH($J15,[1]SorP!$B$1:$B$6230,0)),"",INDIRECT("'SorP'!$A$"&amp;MATCH($J15,[1]SorP!$B$1:$B$6230,0))))</f>
        <v>TG-P</v>
      </c>
      <c r="U15" s="299"/>
      <c r="V15" s="226">
        <f>IF(C15="",NA(),MATCH($B15&amp;$C15,'[1]Smelter Look-up'!$J:$J,0))</f>
        <v>307</v>
      </c>
      <c r="W15" s="300"/>
      <c r="X15" s="300">
        <f t="shared" si="1"/>
        <v>0</v>
      </c>
      <c r="Y15" s="300"/>
      <c r="Z15" s="300"/>
      <c r="AB15" s="228" t="str">
        <f t="shared" si="4"/>
        <v>TantalumH.C. Starck Co., Ltd.</v>
      </c>
    </row>
    <row r="16" spans="1:34" s="227" customFormat="1" ht="20" customHeight="1">
      <c r="A16" s="262" t="s">
        <v>15844</v>
      </c>
      <c r="B16" s="182" t="s">
        <v>1127</v>
      </c>
      <c r="C16" s="301" t="s">
        <v>15845</v>
      </c>
      <c r="D16" s="230" t="s">
        <v>15845</v>
      </c>
      <c r="E16" s="182" t="s">
        <v>1097</v>
      </c>
      <c r="F16" s="182" t="s">
        <v>15844</v>
      </c>
      <c r="G16" s="182" t="s">
        <v>15804</v>
      </c>
      <c r="H16" s="293"/>
      <c r="I16" s="294" t="s">
        <v>15846</v>
      </c>
      <c r="J16" s="294" t="s">
        <v>15847</v>
      </c>
      <c r="K16" s="295"/>
      <c r="L16" s="295"/>
      <c r="M16" s="295"/>
      <c r="N16" s="295"/>
      <c r="O16" s="295"/>
      <c r="P16" s="296"/>
      <c r="Q16" s="297" t="s">
        <v>15842</v>
      </c>
      <c r="R16" s="182" t="s">
        <v>15845</v>
      </c>
      <c r="S16" s="298" t="str">
        <f t="shared" ca="1" si="3"/>
        <v>DE</v>
      </c>
      <c r="T16" s="298" t="str">
        <f ca="1">IF(B16="","",IF(ISERROR(MATCH($J16,[1]SorP!$B$1:$B$6230,0)),"",INDIRECT("'SorP'!$A$"&amp;MATCH($J16,[1]SorP!$B$1:$B$6230,0))))</f>
        <v/>
      </c>
      <c r="U16" s="299"/>
      <c r="V16" s="226">
        <f>IF(C16="",NA(),MATCH($B16&amp;$C16,'[1]Smelter Look-up'!$J:$J,0))</f>
        <v>308</v>
      </c>
      <c r="W16" s="300"/>
      <c r="X16" s="300">
        <f t="shared" si="1"/>
        <v>0</v>
      </c>
      <c r="Y16" s="300"/>
      <c r="Z16" s="300"/>
      <c r="AB16" s="228" t="str">
        <f t="shared" si="4"/>
        <v>TantalumH.C. Starck Hermsdorf GmbH</v>
      </c>
    </row>
    <row r="17" spans="1:28" s="227" customFormat="1" ht="20" customHeight="1">
      <c r="A17" s="262" t="s">
        <v>1414</v>
      </c>
      <c r="B17" s="182" t="s">
        <v>1127</v>
      </c>
      <c r="C17" s="301" t="s">
        <v>1413</v>
      </c>
      <c r="D17" s="230" t="s">
        <v>1413</v>
      </c>
      <c r="E17" s="182" t="s">
        <v>15840</v>
      </c>
      <c r="F17" s="182" t="s">
        <v>1414</v>
      </c>
      <c r="G17" s="182" t="s">
        <v>15804</v>
      </c>
      <c r="H17" s="293"/>
      <c r="I17" s="294" t="s">
        <v>1751</v>
      </c>
      <c r="J17" s="294" t="s">
        <v>1625</v>
      </c>
      <c r="K17" s="295"/>
      <c r="L17" s="295"/>
      <c r="M17" s="295"/>
      <c r="N17" s="295"/>
      <c r="O17" s="295"/>
      <c r="P17" s="296"/>
      <c r="Q17" s="297" t="s">
        <v>15842</v>
      </c>
      <c r="R17" s="182" t="s">
        <v>1413</v>
      </c>
      <c r="S17" s="298" t="str">
        <f t="shared" ca="1" si="3"/>
        <v>Unknown</v>
      </c>
      <c r="T17" s="298" t="str">
        <f ca="1">IF(B17="","",IF(ISERROR(MATCH($J17,[1]SorP!$B$1:$B$6230,0)),"",INDIRECT("'SorP'!$A$"&amp;MATCH($J17,[1]SorP!$B$1:$B$6230,0))))</f>
        <v>UG-417</v>
      </c>
      <c r="U17" s="299"/>
      <c r="V17" s="226">
        <f>IF(C17="",NA(),MATCH($B17&amp;$C17,'[1]Smelter Look-up'!$J:$J,0))</f>
        <v>309</v>
      </c>
      <c r="W17" s="300"/>
      <c r="X17" s="300">
        <f t="shared" si="1"/>
        <v>0</v>
      </c>
      <c r="Y17" s="300"/>
      <c r="Z17" s="300"/>
      <c r="AB17" s="228" t="str">
        <f t="shared" si="4"/>
        <v>TantalumH.C. Starck Inc.</v>
      </c>
    </row>
    <row r="18" spans="1:28" s="227" customFormat="1" ht="20" customHeight="1">
      <c r="A18" s="181" t="s">
        <v>1416</v>
      </c>
      <c r="B18" s="182" t="s">
        <v>1127</v>
      </c>
      <c r="C18" s="301" t="s">
        <v>1415</v>
      </c>
      <c r="D18" s="230" t="s">
        <v>1415</v>
      </c>
      <c r="E18" s="182" t="s">
        <v>1104</v>
      </c>
      <c r="F18" s="182" t="s">
        <v>1416</v>
      </c>
      <c r="G18" s="182" t="s">
        <v>15804</v>
      </c>
      <c r="H18" s="293"/>
      <c r="I18" s="294" t="s">
        <v>1752</v>
      </c>
      <c r="J18" s="294" t="s">
        <v>1753</v>
      </c>
      <c r="K18" s="295"/>
      <c r="L18" s="295"/>
      <c r="M18" s="295"/>
      <c r="N18" s="295"/>
      <c r="O18" s="295"/>
      <c r="P18" s="296"/>
      <c r="Q18" s="297" t="s">
        <v>15842</v>
      </c>
      <c r="R18" s="182" t="s">
        <v>1415</v>
      </c>
      <c r="S18" s="298" t="str">
        <f t="shared" ca="1" si="3"/>
        <v>JP</v>
      </c>
      <c r="T18" s="298" t="str">
        <f ca="1">IF(B18="","",IF(ISERROR(MATCH($J18,[1]SorP!$B$1:$B$6230,0)),"",INDIRECT("'SorP'!$A$"&amp;MATCH($J18,[1]SorP!$B$1:$B$6230,0))))</f>
        <v>JO-MA</v>
      </c>
      <c r="U18" s="299"/>
      <c r="V18" s="226">
        <f>IF(C18="",NA(),MATCH($B18&amp;$C18,'[1]Smelter Look-up'!$J:$J,0))</f>
        <v>310</v>
      </c>
      <c r="W18" s="300"/>
      <c r="X18" s="300">
        <f t="shared" si="1"/>
        <v>0</v>
      </c>
      <c r="Y18" s="300"/>
      <c r="Z18" s="300"/>
      <c r="AB18" s="228" t="str">
        <f t="shared" si="4"/>
        <v>TantalumH.C. Starck Ltd.</v>
      </c>
    </row>
    <row r="19" spans="1:28" s="227" customFormat="1" ht="81">
      <c r="A19" s="181" t="s">
        <v>1417</v>
      </c>
      <c r="B19" s="182" t="s">
        <v>1127</v>
      </c>
      <c r="C19" s="301" t="s">
        <v>2334</v>
      </c>
      <c r="D19" s="230" t="s">
        <v>2334</v>
      </c>
      <c r="E19" s="182" t="s">
        <v>1097</v>
      </c>
      <c r="F19" s="182" t="s">
        <v>1417</v>
      </c>
      <c r="G19" s="182" t="s">
        <v>15804</v>
      </c>
      <c r="H19" s="293"/>
      <c r="I19" s="294" t="s">
        <v>1750</v>
      </c>
      <c r="J19" s="294" t="s">
        <v>1543</v>
      </c>
      <c r="K19" s="295"/>
      <c r="L19" s="295"/>
      <c r="M19" s="295"/>
      <c r="N19" s="295"/>
      <c r="O19" s="295"/>
      <c r="P19" s="296"/>
      <c r="Q19" s="297" t="s">
        <v>15842</v>
      </c>
      <c r="R19" s="182" t="s">
        <v>2334</v>
      </c>
      <c r="S19" s="298" t="str">
        <f t="shared" ca="1" si="3"/>
        <v>DE</v>
      </c>
      <c r="T19" s="298" t="str">
        <f ca="1">IF(B19="","",IF(ISERROR(MATCH($J19,[1]SorP!$B$1:$B$6230,0)),"",INDIRECT("'SorP'!$A$"&amp;MATCH($J19,[1]SorP!$B$1:$B$6230,0))))</f>
        <v>DE-BW</v>
      </c>
      <c r="U19" s="299"/>
      <c r="V19" s="226">
        <f>IF(C19="",NA(),MATCH($B19&amp;$C19,'[1]Smelter Look-up'!$J:$J,0))</f>
        <v>311</v>
      </c>
      <c r="W19" s="300"/>
      <c r="X19" s="300">
        <f t="shared" si="1"/>
        <v>0</v>
      </c>
      <c r="Y19" s="300"/>
      <c r="Z19" s="300"/>
      <c r="AB19" s="228" t="str">
        <f t="shared" si="4"/>
        <v>TantalumH.C. Starck Smelting GmbH &amp; Co. KG</v>
      </c>
    </row>
    <row r="20" spans="1:28" s="227" customFormat="1" ht="81">
      <c r="A20" s="181" t="s">
        <v>1409</v>
      </c>
      <c r="B20" s="182" t="s">
        <v>1127</v>
      </c>
      <c r="C20" s="301" t="s">
        <v>1408</v>
      </c>
      <c r="D20" s="230" t="s">
        <v>1408</v>
      </c>
      <c r="E20" s="182" t="s">
        <v>15840</v>
      </c>
      <c r="F20" s="182" t="s">
        <v>1409</v>
      </c>
      <c r="G20" s="182" t="s">
        <v>15804</v>
      </c>
      <c r="H20" s="293"/>
      <c r="I20" s="294" t="s">
        <v>1754</v>
      </c>
      <c r="J20" s="294" t="s">
        <v>1737</v>
      </c>
      <c r="K20" s="295"/>
      <c r="L20" s="295"/>
      <c r="M20" s="295"/>
      <c r="N20" s="295"/>
      <c r="O20" s="295"/>
      <c r="P20" s="296"/>
      <c r="Q20" s="297" t="s">
        <v>15842</v>
      </c>
      <c r="R20" s="182" t="s">
        <v>1408</v>
      </c>
      <c r="S20" s="298" t="str">
        <f t="shared" ca="1" si="3"/>
        <v>Unknown</v>
      </c>
      <c r="T20" s="298" t="str">
        <f ca="1">IF(B20="","",IF(ISERROR(MATCH($J20,[1]SorP!$B$1:$B$6230,0)),"",INDIRECT("'SorP'!$A$"&amp;MATCH($J20,[1]SorP!$B$1:$B$6230,0))))</f>
        <v>UM-81</v>
      </c>
      <c r="U20" s="299"/>
      <c r="V20" s="226">
        <f>IF(C20="",NA(),MATCH($B20&amp;$C20,'[1]Smelter Look-up'!$J:$J,0))</f>
        <v>305</v>
      </c>
      <c r="W20" s="300"/>
      <c r="X20" s="300">
        <f t="shared" si="1"/>
        <v>0</v>
      </c>
      <c r="Y20" s="300"/>
      <c r="Z20" s="300"/>
      <c r="AB20" s="228" t="str">
        <f t="shared" si="4"/>
        <v>TantalumGlobal Advanced Metals Boyertown</v>
      </c>
    </row>
    <row r="21" spans="1:28" s="227" customFormat="1" ht="67.5">
      <c r="A21" s="181" t="s">
        <v>787</v>
      </c>
      <c r="B21" s="182" t="s">
        <v>1126</v>
      </c>
      <c r="C21" s="301" t="s">
        <v>2342</v>
      </c>
      <c r="D21" s="230" t="s">
        <v>2342</v>
      </c>
      <c r="E21" s="182" t="s">
        <v>1096</v>
      </c>
      <c r="F21" s="182" t="s">
        <v>787</v>
      </c>
      <c r="G21" s="182" t="s">
        <v>15804</v>
      </c>
      <c r="H21" s="293"/>
      <c r="I21" s="294" t="s">
        <v>2446</v>
      </c>
      <c r="J21" s="294" t="s">
        <v>15833</v>
      </c>
      <c r="K21" s="295" t="s">
        <v>15848</v>
      </c>
      <c r="L21" s="295" t="s">
        <v>15849</v>
      </c>
      <c r="M21" s="295" t="s">
        <v>12615</v>
      </c>
      <c r="N21" s="295" t="s">
        <v>15850</v>
      </c>
      <c r="O21" s="295" t="s">
        <v>15851</v>
      </c>
      <c r="P21" s="296" t="s">
        <v>489</v>
      </c>
      <c r="Q21" s="297"/>
      <c r="R21" s="182" t="s">
        <v>2342</v>
      </c>
      <c r="S21" s="298" t="str">
        <f t="shared" ca="1" si="3"/>
        <v>CN</v>
      </c>
      <c r="T21" s="298" t="str">
        <f ca="1">IF(B21="","",IF(ISERROR(MATCH($J21,[1]SorP!$B$1:$B$6230,0)),"",INDIRECT("'SorP'!$A$"&amp;MATCH($J21,[1]SorP!$B$1:$B$6230,0))))</f>
        <v/>
      </c>
      <c r="U21" s="299"/>
      <c r="V21" s="226">
        <f>IF(C21="",NA(),MATCH($B21&amp;$C21,'[1]Smelter Look-up'!$J:$J,0))</f>
        <v>477</v>
      </c>
      <c r="W21" s="300"/>
      <c r="X21" s="300">
        <f t="shared" si="1"/>
        <v>0</v>
      </c>
      <c r="Y21" s="300"/>
      <c r="Z21" s="300"/>
      <c r="AB21" s="228" t="str">
        <f t="shared" si="4"/>
        <v>TinYunnan Tin Company Limited</v>
      </c>
    </row>
    <row r="22" spans="1:28" s="227" customFormat="1" ht="108">
      <c r="A22" s="181" t="s">
        <v>2278</v>
      </c>
      <c r="B22" s="182" t="s">
        <v>1126</v>
      </c>
      <c r="C22" s="301" t="s">
        <v>2335</v>
      </c>
      <c r="D22" s="230" t="s">
        <v>2335</v>
      </c>
      <c r="E22" s="182" t="s">
        <v>1096</v>
      </c>
      <c r="F22" s="182" t="s">
        <v>2278</v>
      </c>
      <c r="G22" s="182" t="s">
        <v>13240</v>
      </c>
      <c r="H22" s="293"/>
      <c r="I22" s="294" t="s">
        <v>1774</v>
      </c>
      <c r="J22" s="294" t="s">
        <v>15852</v>
      </c>
      <c r="K22" s="295"/>
      <c r="L22" s="295"/>
      <c r="M22" s="295"/>
      <c r="N22" s="295"/>
      <c r="O22" s="295"/>
      <c r="P22" s="296"/>
      <c r="Q22" s="297"/>
      <c r="R22" s="182" t="s">
        <v>2335</v>
      </c>
      <c r="S22" s="298" t="str">
        <f t="shared" ca="1" si="3"/>
        <v>CN</v>
      </c>
      <c r="T22" s="298" t="str">
        <f ca="1">IF(B22="","",IF(ISERROR(MATCH($J22,[1]SorP!$B$1:$B$6230,0)),"",INDIRECT("'SorP'!$A$"&amp;MATCH($J22,[1]SorP!$B$1:$B$6230,0))))</f>
        <v/>
      </c>
      <c r="U22" s="299"/>
      <c r="V22" s="226">
        <f>IF(C22="",NA(),MATCH($B22&amp;$C22,'[1]Smelter Look-up'!$J:$J,0))</f>
        <v>364</v>
      </c>
      <c r="W22" s="300"/>
      <c r="X22" s="300">
        <f t="shared" si="1"/>
        <v>0</v>
      </c>
      <c r="Y22" s="300"/>
      <c r="Z22" s="300"/>
      <c r="AB22" s="228" t="str">
        <f t="shared" si="4"/>
        <v>TinChenzhou Yunxiang Mining and Metallurgy Co., Ltd.</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ref="S23:S37" ca="1" si="5">IF(B23="","",IF(ISERROR(MATCH($E23,CL,0)),"Unknown",INDIRECT("'C'!$A$"&amp;MATCH($E23,CL,0)+1)))</f>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ref="X23:X37" ca="1" si="6">IF(AND(C23="Smelter not listed",OR(LEN(D23)=0,LEN(E23)=0)),1,0)</f>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5"/>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6"/>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5"/>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6"/>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5"/>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6"/>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5"/>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6"/>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5"/>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6"/>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6"/>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6"/>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6"/>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6"/>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6"/>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6"/>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6"/>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6"/>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6"/>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3:B2504">
    <cfRule type="expression" dxfId="41" priority="24" stopIfTrue="1">
      <formula>IF(B23="",TRUE)</formula>
    </cfRule>
    <cfRule type="expression" dxfId="40" priority="27" stopIfTrue="1">
      <formula>IF(AND(COUNTIF(MetalSmelter,B23&amp;C23)=0,LEN(C23)&gt;0),TRUE,FALSE)</formula>
    </cfRule>
  </conditionalFormatting>
  <conditionalFormatting sqref="C23:C2504">
    <cfRule type="expression" dxfId="39" priority="22" stopIfTrue="1">
      <formula>IF(AND(B23&lt;&gt;"",C23=""),TRUE)</formula>
    </cfRule>
  </conditionalFormatting>
  <conditionalFormatting sqref="D23:D2504">
    <cfRule type="expression" dxfId="38" priority="31" stopIfTrue="1">
      <formula>IF(AND(LEN($C23)&gt;0,AND($C23&lt;&gt;"Smelter Not Listed",ISBLANK($D23))),1,0)</formula>
    </cfRule>
    <cfRule type="expression" dxfId="37" priority="38" stopIfTrue="1">
      <formula>IF(AND(D23="",$C23=$X$4),TRUE)</formula>
    </cfRule>
    <cfRule type="expression" dxfId="36" priority="39" stopIfTrue="1">
      <formula>IF(FIND("!",D23),TRUE)</formula>
    </cfRule>
  </conditionalFormatting>
  <conditionalFormatting sqref="E23:E2504 R23:R2504">
    <cfRule type="expression" dxfId="35" priority="25" stopIfTrue="1">
      <formula>IF(AND(E23="",$C23=$X$4),TRUE)</formula>
    </cfRule>
    <cfRule type="expression" dxfId="34" priority="26" stopIfTrue="1">
      <formula>IF(FIND("!",E23),TRUE)</formula>
    </cfRule>
  </conditionalFormatting>
  <conditionalFormatting sqref="F23:F2504">
    <cfRule type="expression" dxfId="33" priority="23" stopIfTrue="1">
      <formula>IF(AND(LEN($A23)&gt;0,$A23&lt;&gt;$F23),TRUE,FALSE)</formula>
    </cfRule>
  </conditionalFormatting>
  <conditionalFormatting sqref="G23:G2504">
    <cfRule type="expression" dxfId="32" priority="40" stopIfTrue="1">
      <formula>IF(FIND("Enter smelter details",G23),TRUE)</formula>
    </cfRule>
  </conditionalFormatting>
  <conditionalFormatting sqref="B21:B22 B5:B19">
    <cfRule type="expression" dxfId="31" priority="14" stopIfTrue="1">
      <formula>IF(B5="",TRUE)</formula>
    </cfRule>
    <cfRule type="expression" dxfId="30" priority="17" stopIfTrue="1">
      <formula>IF(AND(COUNTIF(MetalSmelter,B5&amp;C5)=0,LEN(C5)&gt;0),TRUE,FALSE)</formula>
    </cfRule>
  </conditionalFormatting>
  <conditionalFormatting sqref="D5:D19 D21:D22">
    <cfRule type="expression" dxfId="29" priority="11" stopIfTrue="1">
      <formula>IF(AND(LEN($C5)&gt;0,($C5&lt;&gt;"Smelter Not Listed")),1,0)</formula>
    </cfRule>
    <cfRule type="expression" dxfId="28" priority="18" stopIfTrue="1">
      <formula>IF(AND(D5="",$C5=$X$4),TRUE)</formula>
    </cfRule>
    <cfRule type="expression" dxfId="27" priority="19" stopIfTrue="1">
      <formula>IF(FIND("!",D5),TRUE)</formula>
    </cfRule>
  </conditionalFormatting>
  <conditionalFormatting sqref="G5:G19 G21:G22">
    <cfRule type="expression" dxfId="26" priority="20" stopIfTrue="1">
      <formula>IF(FIND("Enter smelter details",G5),TRUE)</formula>
    </cfRule>
  </conditionalFormatting>
  <conditionalFormatting sqref="R5:R22 E5:E19 E21:E22">
    <cfRule type="expression" dxfId="25" priority="15" stopIfTrue="1">
      <formula>IF(AND(E5="",$C5=$X$4),TRUE)</formula>
    </cfRule>
    <cfRule type="expression" dxfId="24" priority="16" stopIfTrue="1">
      <formula>IF(FIND("!",E5),TRUE)</formula>
    </cfRule>
  </conditionalFormatting>
  <conditionalFormatting sqref="F5:F19 F21:F22">
    <cfRule type="expression" dxfId="23" priority="13" stopIfTrue="1">
      <formula>IF(AND(LEN($A5)&gt;0,$A5&lt;&gt;$F5),TRUE,FALSE)</formula>
    </cfRule>
  </conditionalFormatting>
  <conditionalFormatting sqref="C21:C22 C5:C19">
    <cfRule type="expression" dxfId="22" priority="12" stopIfTrue="1">
      <formula>IF(AND(B5&lt;&gt;"",C5=""),TRUE)</formula>
    </cfRule>
  </conditionalFormatting>
  <conditionalFormatting sqref="B20">
    <cfRule type="expression" dxfId="21" priority="4" stopIfTrue="1">
      <formula>IF(B20="",TRUE)</formula>
    </cfRule>
    <cfRule type="expression" dxfId="20" priority="7" stopIfTrue="1">
      <formula>IF(AND(COUNTIF(MetalSmelter,B20&amp;C20)=0,LEN(C20)&gt;0),TRUE,FALSE)</formula>
    </cfRule>
  </conditionalFormatting>
  <conditionalFormatting sqref="D20">
    <cfRule type="expression" dxfId="19" priority="1" stopIfTrue="1">
      <formula>IF(AND(LEN($C20)&gt;0,($C20&lt;&gt;"Smelter Not Listed")),1,0)</formula>
    </cfRule>
    <cfRule type="expression" dxfId="18" priority="8" stopIfTrue="1">
      <formula>IF(AND(D20="",$C20=$X$4),TRUE)</formula>
    </cfRule>
    <cfRule type="expression" dxfId="17" priority="9" stopIfTrue="1">
      <formula>IF(FIND("!",D20),TRUE)</formula>
    </cfRule>
  </conditionalFormatting>
  <conditionalFormatting sqref="G20">
    <cfRule type="expression" dxfId="16" priority="10" stopIfTrue="1">
      <formula>IF(FIND("Enter smelter details",G20),TRUE)</formula>
    </cfRule>
  </conditionalFormatting>
  <conditionalFormatting sqref="E20">
    <cfRule type="expression" dxfId="15" priority="5" stopIfTrue="1">
      <formula>IF(AND(E20="",$C20=$X$4),TRUE)</formula>
    </cfRule>
    <cfRule type="expression" dxfId="14" priority="6" stopIfTrue="1">
      <formula>IF(FIND("!",E20),TRUE)</formula>
    </cfRule>
  </conditionalFormatting>
  <conditionalFormatting sqref="F20">
    <cfRule type="expression" dxfId="13" priority="3" stopIfTrue="1">
      <formula>IF(AND(LEN($A20)&gt;0,$A20&lt;&gt;$F20),TRUE,FALSE)</formula>
    </cfRule>
  </conditionalFormatting>
  <conditionalFormatting sqref="C20">
    <cfRule type="expression" dxfId="12"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01" t="str">
        <f ca="1">OFFSET(L!$C$1,MATCH("Checker"&amp;ADDRESS(ROW(),COLUMN(),4),L!$A:$A,0)-1,SL,,)</f>
        <v>To ensure all required fields have been populated before submitting to your customers review form for any line items highlighted in red</v>
      </c>
      <c r="B1" s="401"/>
      <c r="C1" s="40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e">
        <f>IF(H70=0,"0",H70)</f>
        <v>#REF!</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 xml:space="preserve">Elmo motion control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www.elmomc.com</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 xml:space="preserve">Yaron Ohana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 xml:space="preserve">Yarono@elmomc.com </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e">
        <f>Declaration!#REF!</f>
        <v>#REF!</v>
      </c>
      <c r="C9" s="89" t="e">
        <f>IF(H9=1,J9,I9)</f>
        <v>#REF!</v>
      </c>
      <c r="D9" s="95" t="e">
        <f>IF(H9=1,"Click here to enter Phone-Contact","")</f>
        <v>#REF!</v>
      </c>
      <c r="E9" s="20" t="s">
        <v>1302</v>
      </c>
      <c r="F9" s="93">
        <v>1</v>
      </c>
      <c r="G9" s="70" t="e">
        <f>IF(B9=0,1,0)</f>
        <v>#REF!</v>
      </c>
      <c r="H9" s="71" t="e">
        <f t="shared" si="3"/>
        <v>#REF!</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Declaration!D17</f>
        <v>+972545655367</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 xml:space="preserve">Yarono@elmomc.com </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No</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No</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No</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 xml:space="preserve">www.elmomc.com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t="e">
        <f>SUM(H4:H69)</f>
        <v>#REF!</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D6" activePane="bottomRight" state="frozen"/>
      <selection activeCell="A4" sqref="A4"/>
      <selection pane="topRight" activeCell="A4" sqref="A4"/>
      <selection pane="bottomLeft" activeCell="A4" sqref="A4"/>
      <selection pane="bottomRight" activeCell="D6" sqref="D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403" t="str">
        <f ca="1">OFFSET(L!$C$1,MATCH("Product List"&amp;ADDRESS(ROW(),COLUMN(),4),L!$A:$A,0)-1,SL,,)</f>
        <v>Completion required only if reporting level "Product (or List of Products)" selected on the 'Declaration' worksheet.</v>
      </c>
      <c r="B1" s="404"/>
      <c r="C1" s="404"/>
      <c r="D1" s="40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2" t="s">
        <v>894</v>
      </c>
      <c r="C4" s="402"/>
      <c r="D4" s="40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05" t="str">
        <f ca="1">OFFSET(L!$C$1,MATCH("General"&amp;"Cpy",L!$A:$A,0)-1,SL,,)</f>
        <v>© 2023 Responsible Minerals Initiative. All rights reserved.</v>
      </c>
      <c r="C2006" s="405"/>
      <c r="D2006" s="405"/>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1">
      <c r="A2" s="407"/>
      <c r="B2" s="407"/>
      <c r="C2" s="407"/>
      <c r="D2" s="407"/>
      <c r="E2" s="407"/>
      <c r="F2" s="407"/>
      <c r="G2" s="407"/>
      <c r="H2" s="407"/>
      <c r="I2" s="407"/>
    </row>
    <row r="3" spans="1:11">
      <c r="A3" s="407"/>
      <c r="B3" s="407"/>
      <c r="C3" s="407"/>
      <c r="D3" s="407"/>
      <c r="E3" s="407"/>
      <c r="F3" s="407"/>
      <c r="G3" s="407"/>
      <c r="H3" s="407"/>
      <c r="I3" s="40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purl.org/dc/elements/1.1/"/>
    <ds:schemaRef ds:uri="http://schemas.openxmlformats.org/package/2006/metadata/core-properties"/>
    <ds:schemaRef ds:uri="6e8a5f3d-031c-4996-804e-0e28298fe1e2"/>
    <ds:schemaRef ds:uri="http://www.w3.org/XML/1998/namespace"/>
    <ds:schemaRef ds:uri="http://purl.org/dc/terms/"/>
    <ds:schemaRef ds:uri="http://purl.org/dc/dcmitype/"/>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Yaron Ohana</cp:lastModifiedBy>
  <cp:lastPrinted>2015-04-21T20:47:43Z</cp:lastPrinted>
  <dcterms:created xsi:type="dcterms:W3CDTF">2010-06-21T21:00:23Z</dcterms:created>
  <dcterms:modified xsi:type="dcterms:W3CDTF">2023-09-03T07:45:45Z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